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mfoley.NASPA\Documents\Assets\"/>
    </mc:Choice>
  </mc:AlternateContent>
  <xr:revisionPtr revIDLastSave="0" documentId="8_{5D0C954C-883B-4E44-89A7-0EAEE662DE99}" xr6:coauthVersionLast="47" xr6:coauthVersionMax="47" xr10:uidLastSave="{00000000-0000-0000-0000-000000000000}"/>
  <bookViews>
    <workbookView xWindow="-110" yWindow="-110" windowWidth="19420" windowHeight="10420" xr2:uid="{00000000-000D-0000-FFFF-FFFF00000000}"/>
  </bookViews>
  <sheets>
    <sheet name="About" sheetId="15" r:id="rId1"/>
    <sheet name="Instructions" sheetId="22" r:id="rId2"/>
    <sheet name="Dashboard" sheetId="30" r:id="rId3"/>
    <sheet name="DB Data" sheetId="29" state="hidden" r:id="rId4"/>
    <sheet name="Institution Data" sheetId="4" r:id="rId5"/>
    <sheet name="Advising Activity &amp; ROI Levers" sheetId="27" r:id="rId6"/>
    <sheet name="Equity Goals" sheetId="31" r:id="rId7"/>
    <sheet name="Employee Time &amp; Salary Expense" sheetId="3" r:id="rId8"/>
    <sheet name="Revenue &amp; Expense" sheetId="2" r:id="rId9"/>
    <sheet name="Assumptions" sheetId="25" r:id="rId10"/>
    <sheet name="ROI&amp;Efficiency Calculations" sheetId="13" state="hidden" r:id="rId11"/>
    <sheet name="Change Log" sheetId="24" state="hidden" r:id="rId12"/>
  </sheets>
  <externalReferences>
    <externalReference r:id="rId13"/>
  </externalReferences>
  <definedNames>
    <definedName name="_xlnm.Print_Area" localSheetId="9">Assumptions!$A$1:$L$20</definedName>
    <definedName name="_xlnm.Print_Area" localSheetId="6">'Equity Goals'!$A$1:$M$35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31" l="1"/>
  <c r="J7" i="31"/>
  <c r="I7" i="31"/>
  <c r="H7" i="31"/>
  <c r="G7" i="31"/>
  <c r="F7" i="31"/>
  <c r="A2" i="30"/>
  <c r="A1" i="30"/>
  <c r="J9" i="31"/>
  <c r="I9" i="31"/>
  <c r="H9" i="31"/>
  <c r="G9" i="31"/>
  <c r="F9" i="31"/>
  <c r="D9" i="31"/>
  <c r="A2" i="31"/>
  <c r="A1" i="31"/>
  <c r="E11" i="3"/>
  <c r="C12" i="13" l="1"/>
  <c r="D13" i="13" s="1"/>
  <c r="G12" i="27" l="1"/>
  <c r="E17" i="2"/>
  <c r="A2" i="13"/>
  <c r="A1" i="13"/>
  <c r="J17" i="27"/>
  <c r="I17" i="27"/>
  <c r="H17" i="27"/>
  <c r="G17" i="27"/>
  <c r="F17" i="27"/>
  <c r="E17" i="27"/>
  <c r="J21" i="27"/>
  <c r="I21" i="27"/>
  <c r="H21" i="27"/>
  <c r="G21" i="27"/>
  <c r="F21" i="27"/>
  <c r="E21" i="27"/>
  <c r="G50" i="29"/>
  <c r="F50" i="29"/>
  <c r="E50" i="29"/>
  <c r="D50" i="29"/>
  <c r="C50" i="29"/>
  <c r="B50" i="29"/>
  <c r="G43" i="29"/>
  <c r="F43" i="29"/>
  <c r="E43" i="29"/>
  <c r="D43" i="29"/>
  <c r="C43" i="29"/>
  <c r="B43" i="29"/>
  <c r="M77" i="30"/>
  <c r="L77" i="30"/>
  <c r="K77" i="30"/>
  <c r="J77" i="30"/>
  <c r="I77" i="30"/>
  <c r="M75" i="30"/>
  <c r="L75" i="30"/>
  <c r="K75" i="30"/>
  <c r="J75" i="30"/>
  <c r="I74" i="30"/>
  <c r="C45" i="29" s="1"/>
  <c r="H50" i="29"/>
  <c r="H39" i="29"/>
  <c r="H38" i="29"/>
  <c r="B38" i="29"/>
  <c r="H31" i="29"/>
  <c r="G36" i="29"/>
  <c r="F36" i="29"/>
  <c r="E36" i="29"/>
  <c r="D36" i="29"/>
  <c r="C36" i="29"/>
  <c r="G29" i="29"/>
  <c r="F29" i="29"/>
  <c r="E29" i="29"/>
  <c r="D29" i="29"/>
  <c r="C29" i="29"/>
  <c r="G23" i="29"/>
  <c r="F23" i="29"/>
  <c r="E23" i="29"/>
  <c r="D23" i="29"/>
  <c r="C23" i="29"/>
  <c r="G10" i="29"/>
  <c r="F10" i="29"/>
  <c r="E10" i="29"/>
  <c r="D10" i="29"/>
  <c r="C10" i="29"/>
  <c r="B36" i="29"/>
  <c r="B29" i="29"/>
  <c r="B23" i="29"/>
  <c r="B10" i="29"/>
  <c r="M87" i="30"/>
  <c r="G31" i="29" s="1"/>
  <c r="L87" i="30"/>
  <c r="F31" i="29" s="1"/>
  <c r="K87" i="30"/>
  <c r="E31" i="29" s="1"/>
  <c r="J87" i="30"/>
  <c r="D31" i="29" s="1"/>
  <c r="I85" i="30"/>
  <c r="I87" i="30"/>
  <c r="C31" i="29" s="1"/>
  <c r="I86" i="30"/>
  <c r="C30" i="29" s="1"/>
  <c r="C17" i="29"/>
  <c r="C16" i="29"/>
  <c r="C15" i="29"/>
  <c r="C14" i="29"/>
  <c r="C13" i="29"/>
  <c r="C12" i="29"/>
  <c r="B16" i="29"/>
  <c r="B17" i="29"/>
  <c r="B15" i="29"/>
  <c r="B14" i="29"/>
  <c r="B13" i="29"/>
  <c r="B12" i="29"/>
  <c r="M70" i="30"/>
  <c r="L70" i="30"/>
  <c r="K70" i="30"/>
  <c r="J70" i="30"/>
  <c r="I70" i="30"/>
  <c r="H70" i="30"/>
  <c r="B2" i="29"/>
  <c r="H36" i="29"/>
  <c r="H29" i="29"/>
  <c r="B24" i="29"/>
  <c r="H23" i="29"/>
  <c r="H10" i="29"/>
  <c r="C6" i="29"/>
  <c r="B6" i="29"/>
  <c r="H12" i="27" l="1"/>
  <c r="D12" i="13"/>
  <c r="E13" i="13" s="1"/>
  <c r="C24" i="29"/>
  <c r="I12" i="27" l="1"/>
  <c r="E12" i="13"/>
  <c r="F13" i="13" s="1"/>
  <c r="F26" i="4"/>
  <c r="F25" i="4"/>
  <c r="F24" i="4"/>
  <c r="G29" i="13"/>
  <c r="F29" i="13"/>
  <c r="E29" i="13"/>
  <c r="D29" i="13"/>
  <c r="C29" i="13"/>
  <c r="E18" i="4"/>
  <c r="E22" i="27" s="1"/>
  <c r="E30" i="4"/>
  <c r="B18" i="13" s="1"/>
  <c r="G26" i="13"/>
  <c r="F26" i="13"/>
  <c r="E26" i="13"/>
  <c r="D26" i="13"/>
  <c r="D16" i="13" s="1"/>
  <c r="C26" i="13"/>
  <c r="C16" i="13" s="1"/>
  <c r="G9" i="13"/>
  <c r="F9" i="13"/>
  <c r="E9" i="13"/>
  <c r="D9" i="13"/>
  <c r="G9" i="27"/>
  <c r="J23" i="27"/>
  <c r="I23" i="27"/>
  <c r="H23" i="27"/>
  <c r="G23" i="27"/>
  <c r="E7" i="27"/>
  <c r="J19" i="27"/>
  <c r="G10" i="13" s="1"/>
  <c r="I19" i="27"/>
  <c r="F10" i="13" s="1"/>
  <c r="H19" i="27"/>
  <c r="E10" i="13" s="1"/>
  <c r="A2" i="27"/>
  <c r="A1" i="27"/>
  <c r="E18" i="27"/>
  <c r="F12" i="4"/>
  <c r="G12" i="4" s="1"/>
  <c r="H12" i="4" s="1"/>
  <c r="I12" i="4" s="1"/>
  <c r="J12" i="4" s="1"/>
  <c r="F13" i="4"/>
  <c r="G13" i="4" s="1"/>
  <c r="H13" i="4" s="1"/>
  <c r="I13" i="4" s="1"/>
  <c r="J13" i="4" s="1"/>
  <c r="E10" i="4"/>
  <c r="A2" i="4"/>
  <c r="A1" i="4"/>
  <c r="J12" i="27" l="1"/>
  <c r="G12" i="13" s="1"/>
  <c r="F12" i="13"/>
  <c r="G13" i="13" s="1"/>
  <c r="G14" i="13" s="1"/>
  <c r="G15" i="13" s="1"/>
  <c r="F18" i="27"/>
  <c r="F19" i="27" s="1"/>
  <c r="C10" i="13" s="1"/>
  <c r="H75" i="30"/>
  <c r="F23" i="27"/>
  <c r="C27" i="13" s="1"/>
  <c r="H77" i="30"/>
  <c r="H9" i="27"/>
  <c r="J85" i="30"/>
  <c r="D24" i="29" s="1"/>
  <c r="J86" i="30"/>
  <c r="D30" i="29" s="1"/>
  <c r="G30" i="13"/>
  <c r="G31" i="13" s="1"/>
  <c r="D30" i="13"/>
  <c r="D31" i="13" s="1"/>
  <c r="F30" i="13"/>
  <c r="F31" i="13" s="1"/>
  <c r="E30" i="13"/>
  <c r="E31" i="13" s="1"/>
  <c r="C30" i="13"/>
  <c r="C31" i="13" s="1"/>
  <c r="C34" i="13"/>
  <c r="C18" i="13"/>
  <c r="C17" i="13"/>
  <c r="C33" i="13"/>
  <c r="B26" i="13"/>
  <c r="B16" i="13" s="1"/>
  <c r="B17" i="13"/>
  <c r="B9" i="13"/>
  <c r="D14" i="13"/>
  <c r="E14" i="13"/>
  <c r="E15" i="13" s="1"/>
  <c r="F14" i="13"/>
  <c r="F15" i="13" s="1"/>
  <c r="C37" i="13" l="1"/>
  <c r="C9" i="13"/>
  <c r="I9" i="27"/>
  <c r="K85" i="30"/>
  <c r="E24" i="29" s="1"/>
  <c r="K86" i="30"/>
  <c r="E30" i="29" s="1"/>
  <c r="G19" i="27"/>
  <c r="D10" i="13" s="1"/>
  <c r="I75" i="30"/>
  <c r="C36" i="13"/>
  <c r="D15" i="13"/>
  <c r="C38" i="13" l="1"/>
  <c r="I76" i="30" s="1"/>
  <c r="C46" i="29" s="1"/>
  <c r="J9" i="27"/>
  <c r="L85" i="30"/>
  <c r="F24" i="29" s="1"/>
  <c r="L86" i="30"/>
  <c r="F30" i="29" s="1"/>
  <c r="H24" i="29"/>
  <c r="H30" i="29"/>
  <c r="F9" i="2" l="1"/>
  <c r="I73" i="30" s="1"/>
  <c r="C44" i="29" s="1"/>
  <c r="M85" i="30"/>
  <c r="G24" i="29" s="1"/>
  <c r="M86" i="30"/>
  <c r="G30" i="29" s="1"/>
  <c r="C47" i="29"/>
  <c r="C52" i="29" l="1"/>
  <c r="F47" i="2"/>
  <c r="L23" i="3"/>
  <c r="K23" i="3"/>
  <c r="L22" i="3"/>
  <c r="K22" i="3"/>
  <c r="L21" i="3"/>
  <c r="K21" i="3"/>
  <c r="L20" i="3"/>
  <c r="K20" i="3"/>
  <c r="L19" i="3"/>
  <c r="K19" i="3"/>
  <c r="L18" i="3"/>
  <c r="K18" i="3"/>
  <c r="L17" i="3"/>
  <c r="K17" i="3"/>
  <c r="L16" i="3"/>
  <c r="K16" i="3"/>
  <c r="L15" i="3"/>
  <c r="K15" i="3"/>
  <c r="L14" i="3"/>
  <c r="K14" i="3"/>
  <c r="L13" i="3"/>
  <c r="K13" i="3"/>
  <c r="L12" i="3"/>
  <c r="K12" i="3"/>
  <c r="L11" i="3"/>
  <c r="K11" i="3"/>
  <c r="L10" i="3"/>
  <c r="K10" i="3"/>
  <c r="L8" i="3"/>
  <c r="K8" i="3"/>
  <c r="L9" i="3"/>
  <c r="K7" i="3"/>
  <c r="E7" i="3"/>
  <c r="A2" i="3"/>
  <c r="A1" i="3"/>
  <c r="E7" i="2"/>
  <c r="F19" i="25"/>
  <c r="G19" i="25" s="1"/>
  <c r="H19" i="25" s="1"/>
  <c r="I19" i="25" s="1"/>
  <c r="E16" i="25"/>
  <c r="F16" i="25" s="1"/>
  <c r="G16" i="25" s="1"/>
  <c r="H16" i="25" s="1"/>
  <c r="I16" i="25" s="1"/>
  <c r="F10" i="25"/>
  <c r="G40" i="2" s="1"/>
  <c r="E14" i="25"/>
  <c r="F14" i="25" s="1"/>
  <c r="G14" i="25" s="1"/>
  <c r="H14" i="25" s="1"/>
  <c r="I14" i="25" s="1"/>
  <c r="F12" i="25"/>
  <c r="M20" i="3" s="1"/>
  <c r="F8" i="25"/>
  <c r="G8" i="25" s="1"/>
  <c r="F7" i="3"/>
  <c r="M11" i="3" l="1"/>
  <c r="G33" i="2"/>
  <c r="M15" i="3"/>
  <c r="G42" i="2"/>
  <c r="M19" i="3"/>
  <c r="M23" i="3"/>
  <c r="M10" i="3"/>
  <c r="M14" i="3"/>
  <c r="M18" i="3"/>
  <c r="M22" i="3"/>
  <c r="G12" i="25"/>
  <c r="M8" i="3"/>
  <c r="M13" i="3"/>
  <c r="M17" i="3"/>
  <c r="M21" i="3"/>
  <c r="M9" i="3"/>
  <c r="M12" i="3"/>
  <c r="G11" i="2" s="1"/>
  <c r="M16" i="3"/>
  <c r="G28" i="2"/>
  <c r="G10" i="25"/>
  <c r="H10" i="25" s="1"/>
  <c r="I10" i="25" s="1"/>
  <c r="G34" i="2"/>
  <c r="G29" i="2"/>
  <c r="D13" i="29" s="1"/>
  <c r="G36" i="2"/>
  <c r="H36" i="2" s="1"/>
  <c r="I36" i="2" s="1"/>
  <c r="J36" i="2" s="1"/>
  <c r="H40" i="2"/>
  <c r="I40" i="2" s="1"/>
  <c r="J40" i="2" s="1"/>
  <c r="G26" i="2"/>
  <c r="H26" i="2" s="1"/>
  <c r="G35" i="2"/>
  <c r="H35" i="2" s="1"/>
  <c r="G27" i="2"/>
  <c r="H27" i="2" s="1"/>
  <c r="I27" i="2" s="1"/>
  <c r="J27" i="2" s="1"/>
  <c r="G38" i="2"/>
  <c r="H38" i="2" s="1"/>
  <c r="G31" i="2"/>
  <c r="H31" i="2" s="1"/>
  <c r="G39" i="2"/>
  <c r="H39" i="2" s="1"/>
  <c r="I39" i="2" s="1"/>
  <c r="J39" i="2" s="1"/>
  <c r="G32" i="2"/>
  <c r="D15" i="29" s="1"/>
  <c r="G41" i="2"/>
  <c r="H41" i="2" s="1"/>
  <c r="I41" i="2" s="1"/>
  <c r="J41" i="2" s="1"/>
  <c r="H8" i="25"/>
  <c r="H26" i="4"/>
  <c r="H24" i="4"/>
  <c r="H25" i="4"/>
  <c r="G25" i="4"/>
  <c r="G26" i="4"/>
  <c r="G24" i="4"/>
  <c r="F7" i="2"/>
  <c r="F10" i="4"/>
  <c r="C2" i="29"/>
  <c r="F7" i="27"/>
  <c r="H28" i="2"/>
  <c r="L7" i="3"/>
  <c r="L25" i="3"/>
  <c r="F24" i="2" s="1"/>
  <c r="D17" i="29" l="1"/>
  <c r="H34" i="2"/>
  <c r="I34" i="2" s="1"/>
  <c r="D14" i="29"/>
  <c r="H32" i="2"/>
  <c r="E14" i="29"/>
  <c r="M25" i="3"/>
  <c r="G24" i="2" s="1"/>
  <c r="D18" i="13"/>
  <c r="D20" i="13" s="1"/>
  <c r="D34" i="13"/>
  <c r="H12" i="25"/>
  <c r="N17" i="3"/>
  <c r="N13" i="3"/>
  <c r="N15" i="3"/>
  <c r="N20" i="3"/>
  <c r="N16" i="3"/>
  <c r="N21" i="3"/>
  <c r="N8" i="3"/>
  <c r="N18" i="3"/>
  <c r="N14" i="3"/>
  <c r="N22" i="3"/>
  <c r="N10" i="3"/>
  <c r="N11" i="3"/>
  <c r="N9" i="3"/>
  <c r="N23" i="3"/>
  <c r="N19" i="3"/>
  <c r="N12" i="3"/>
  <c r="H11" i="2" s="1"/>
  <c r="D16" i="29"/>
  <c r="I31" i="2"/>
  <c r="J31" i="2" s="1"/>
  <c r="H29" i="2"/>
  <c r="I29" i="2" s="1"/>
  <c r="J29" i="2" s="1"/>
  <c r="D12" i="29"/>
  <c r="H42" i="2"/>
  <c r="I42" i="2" s="1"/>
  <c r="H33" i="2"/>
  <c r="I33" i="2" s="1"/>
  <c r="J33" i="2" s="1"/>
  <c r="D33" i="13"/>
  <c r="D17" i="13"/>
  <c r="D19" i="13" s="1"/>
  <c r="E34" i="13"/>
  <c r="E18" i="13"/>
  <c r="E33" i="13"/>
  <c r="E17" i="13"/>
  <c r="I8" i="25"/>
  <c r="I26" i="4"/>
  <c r="I24" i="4"/>
  <c r="I25" i="4"/>
  <c r="F25" i="2"/>
  <c r="F12" i="2" s="1"/>
  <c r="F18" i="2" s="1"/>
  <c r="C53" i="29" s="1"/>
  <c r="C57" i="29" s="1"/>
  <c r="I35" i="2"/>
  <c r="D2" i="29"/>
  <c r="G10" i="4"/>
  <c r="G7" i="27"/>
  <c r="I38" i="2"/>
  <c r="E16" i="29"/>
  <c r="I28" i="2"/>
  <c r="I26" i="2"/>
  <c r="E12" i="29"/>
  <c r="I32" i="2"/>
  <c r="M7" i="3"/>
  <c r="G7" i="3"/>
  <c r="G7" i="2"/>
  <c r="G25" i="2" l="1"/>
  <c r="D11" i="29" s="1"/>
  <c r="D18" i="29" s="1"/>
  <c r="E15" i="29"/>
  <c r="E17" i="29"/>
  <c r="I30" i="2"/>
  <c r="J30" i="2" s="1"/>
  <c r="E13" i="29"/>
  <c r="F20" i="2"/>
  <c r="C51" i="29" s="1"/>
  <c r="C11" i="29"/>
  <c r="C18" i="29" s="1"/>
  <c r="C3" i="29"/>
  <c r="D21" i="13"/>
  <c r="J74" i="30" s="1"/>
  <c r="D45" i="29" s="1"/>
  <c r="N25" i="3"/>
  <c r="H24" i="2" s="1"/>
  <c r="I12" i="25"/>
  <c r="O21" i="3"/>
  <c r="O17" i="3"/>
  <c r="O13" i="3"/>
  <c r="O8" i="3"/>
  <c r="O22" i="3"/>
  <c r="O18" i="3"/>
  <c r="O14" i="3"/>
  <c r="O10" i="3"/>
  <c r="O23" i="3"/>
  <c r="O19" i="3"/>
  <c r="O15" i="3"/>
  <c r="O11" i="3"/>
  <c r="O20" i="3"/>
  <c r="O16" i="3"/>
  <c r="O12" i="3"/>
  <c r="I11" i="2" s="1"/>
  <c r="O9" i="3"/>
  <c r="J26" i="4"/>
  <c r="J24" i="4"/>
  <c r="J25" i="4"/>
  <c r="F18" i="13"/>
  <c r="F34" i="13"/>
  <c r="F33" i="13"/>
  <c r="F17" i="13"/>
  <c r="J42" i="2"/>
  <c r="J35" i="2"/>
  <c r="F44" i="2"/>
  <c r="J38" i="2"/>
  <c r="F16" i="29"/>
  <c r="J32" i="2"/>
  <c r="G15" i="29" s="1"/>
  <c r="F15" i="29"/>
  <c r="J34" i="2"/>
  <c r="F17" i="29"/>
  <c r="J28" i="2"/>
  <c r="F13" i="29"/>
  <c r="J26" i="2"/>
  <c r="F12" i="29"/>
  <c r="A2" i="25"/>
  <c r="A1" i="25"/>
  <c r="A2" i="2"/>
  <c r="A1" i="2"/>
  <c r="A2" i="22"/>
  <c r="A1" i="22"/>
  <c r="G12" i="2" l="1"/>
  <c r="G18" i="2" s="1"/>
  <c r="D53" i="29" s="1"/>
  <c r="F14" i="29"/>
  <c r="O25" i="3"/>
  <c r="I24" i="2" s="1"/>
  <c r="P18" i="3"/>
  <c r="P22" i="3"/>
  <c r="P14" i="3"/>
  <c r="P10" i="3"/>
  <c r="P17" i="3"/>
  <c r="P19" i="3"/>
  <c r="P16" i="3"/>
  <c r="P12" i="3"/>
  <c r="J11" i="2" s="1"/>
  <c r="P9" i="3"/>
  <c r="P21" i="3"/>
  <c r="P23" i="3"/>
  <c r="P15" i="3"/>
  <c r="P11" i="3"/>
  <c r="P20" i="3"/>
  <c r="P13" i="3"/>
  <c r="P8" i="3"/>
  <c r="H25" i="2"/>
  <c r="G18" i="13"/>
  <c r="G34" i="13"/>
  <c r="G17" i="13"/>
  <c r="G33" i="13"/>
  <c r="G13" i="29"/>
  <c r="H13" i="29" s="1"/>
  <c r="G16" i="29"/>
  <c r="H16" i="29" s="1"/>
  <c r="C19" i="29"/>
  <c r="I90" i="30"/>
  <c r="C26" i="29" s="1"/>
  <c r="I96" i="30"/>
  <c r="G14" i="29"/>
  <c r="H14" i="29" s="1"/>
  <c r="G17" i="29"/>
  <c r="H17" i="29" s="1"/>
  <c r="G12" i="29"/>
  <c r="H12" i="29" s="1"/>
  <c r="H15" i="29"/>
  <c r="D3" i="29" l="1"/>
  <c r="H12" i="2"/>
  <c r="H18" i="2" s="1"/>
  <c r="E11" i="29"/>
  <c r="E18" i="29" s="1"/>
  <c r="P25" i="3"/>
  <c r="J24" i="2" s="1"/>
  <c r="I25" i="2"/>
  <c r="F11" i="29" s="1"/>
  <c r="F18" i="29" s="1"/>
  <c r="I109" i="30"/>
  <c r="I100" i="30"/>
  <c r="I102" i="30"/>
  <c r="I104" i="30"/>
  <c r="I106" i="30"/>
  <c r="I107" i="30"/>
  <c r="I103" i="30"/>
  <c r="I105" i="30"/>
  <c r="I108" i="30"/>
  <c r="I99" i="30"/>
  <c r="I98" i="30"/>
  <c r="E2" i="29"/>
  <c r="H7" i="27"/>
  <c r="H10" i="4"/>
  <c r="H7" i="3"/>
  <c r="H7" i="2"/>
  <c r="N7" i="3"/>
  <c r="E53" i="29" l="1"/>
  <c r="E3" i="29"/>
  <c r="I12" i="2"/>
  <c r="I18" i="2" s="1"/>
  <c r="F53" i="29" s="1"/>
  <c r="J25" i="2"/>
  <c r="G11" i="29" s="1"/>
  <c r="G18" i="29" s="1"/>
  <c r="F2" i="29"/>
  <c r="I7" i="27"/>
  <c r="I10" i="4"/>
  <c r="I7" i="2"/>
  <c r="I7" i="3"/>
  <c r="O7" i="3"/>
  <c r="J12" i="2" l="1"/>
  <c r="J18" i="2" s="1"/>
  <c r="G53" i="29" s="1"/>
  <c r="F3" i="29"/>
  <c r="G2" i="29"/>
  <c r="J10" i="4"/>
  <c r="J7" i="27"/>
  <c r="J7" i="3"/>
  <c r="J7" i="2"/>
  <c r="P7" i="3"/>
  <c r="G3" i="29" l="1"/>
  <c r="F27" i="13"/>
  <c r="G27" i="13"/>
  <c r="D27" i="13"/>
  <c r="E27" i="13"/>
  <c r="D36" i="13" l="1"/>
  <c r="D37" i="13"/>
  <c r="E36" i="13"/>
  <c r="E37" i="13"/>
  <c r="G37" i="13"/>
  <c r="G36" i="13"/>
  <c r="F37" i="13"/>
  <c r="F36" i="13"/>
  <c r="E16" i="13"/>
  <c r="K9" i="3"/>
  <c r="K25" i="3" s="1"/>
  <c r="E24" i="2" s="1"/>
  <c r="F38" i="13" l="1"/>
  <c r="L76" i="30" s="1"/>
  <c r="F46" i="29" s="1"/>
  <c r="G38" i="13"/>
  <c r="M76" i="30" s="1"/>
  <c r="G46" i="29" s="1"/>
  <c r="E38" i="13"/>
  <c r="K76" i="30" s="1"/>
  <c r="E46" i="29" s="1"/>
  <c r="D38" i="13"/>
  <c r="E19" i="13"/>
  <c r="E20" i="13"/>
  <c r="E25" i="2"/>
  <c r="E12" i="2" s="1"/>
  <c r="C4" i="29"/>
  <c r="E18" i="2" l="1"/>
  <c r="B53" i="29" s="1"/>
  <c r="E44" i="2"/>
  <c r="B4" i="29" s="1"/>
  <c r="J76" i="30"/>
  <c r="D46" i="29" s="1"/>
  <c r="G9" i="2"/>
  <c r="D52" i="29" s="1"/>
  <c r="C5" i="29"/>
  <c r="C25" i="29"/>
  <c r="B11" i="29"/>
  <c r="E21" i="13"/>
  <c r="F48" i="2"/>
  <c r="F49" i="2" s="1"/>
  <c r="F51" i="2" s="1"/>
  <c r="G44" i="2"/>
  <c r="B3" i="29" l="1"/>
  <c r="B5" i="29" s="1"/>
  <c r="E20" i="2"/>
  <c r="B51" i="29" s="1"/>
  <c r="B57" i="29"/>
  <c r="H53" i="29"/>
  <c r="J90" i="30"/>
  <c r="D26" i="29" s="1"/>
  <c r="J96" i="30"/>
  <c r="B19" i="29"/>
  <c r="H96" i="30"/>
  <c r="D57" i="29"/>
  <c r="J73" i="30"/>
  <c r="D44" i="29" s="1"/>
  <c r="G47" i="2"/>
  <c r="G20" i="2"/>
  <c r="D51" i="29" s="1"/>
  <c r="H9" i="2"/>
  <c r="E52" i="29" s="1"/>
  <c r="E57" i="29" s="1"/>
  <c r="K74" i="30"/>
  <c r="E45" i="29" s="1"/>
  <c r="H46" i="29"/>
  <c r="D47" i="29"/>
  <c r="C39" i="29"/>
  <c r="C54" i="29"/>
  <c r="F54" i="2"/>
  <c r="I91" i="30"/>
  <c r="D4" i="29"/>
  <c r="D19" i="29"/>
  <c r="H11" i="29"/>
  <c r="H18" i="29" s="1"/>
  <c r="B18" i="29"/>
  <c r="E48" i="2"/>
  <c r="E49" i="2" s="1"/>
  <c r="E51" i="2" s="1"/>
  <c r="B54" i="29" s="1"/>
  <c r="F53" i="2"/>
  <c r="G48" i="2"/>
  <c r="H44" i="2"/>
  <c r="F16" i="13"/>
  <c r="G16" i="13"/>
  <c r="B56" i="29" l="1"/>
  <c r="H3" i="29"/>
  <c r="H108" i="30"/>
  <c r="H104" i="30"/>
  <c r="H106" i="30"/>
  <c r="H102" i="30"/>
  <c r="H103" i="30"/>
  <c r="H109" i="30"/>
  <c r="H105" i="30"/>
  <c r="H100" i="30"/>
  <c r="H107" i="30"/>
  <c r="H99" i="30"/>
  <c r="H98" i="30"/>
  <c r="K96" i="30"/>
  <c r="K90" i="30"/>
  <c r="E26" i="29" s="1"/>
  <c r="J104" i="30"/>
  <c r="J106" i="30"/>
  <c r="J103" i="30"/>
  <c r="J105" i="30"/>
  <c r="J107" i="30"/>
  <c r="J102" i="30"/>
  <c r="J109" i="30"/>
  <c r="J100" i="30"/>
  <c r="J108" i="30"/>
  <c r="J98" i="30"/>
  <c r="J99" i="30"/>
  <c r="G49" i="2"/>
  <c r="G51" i="2" s="1"/>
  <c r="G53" i="2" s="1"/>
  <c r="E47" i="29"/>
  <c r="K73" i="30"/>
  <c r="E44" i="29" s="1"/>
  <c r="H47" i="2"/>
  <c r="H20" i="2"/>
  <c r="E51" i="29" s="1"/>
  <c r="I93" i="30"/>
  <c r="C55" i="29"/>
  <c r="C56" i="29"/>
  <c r="E53" i="2"/>
  <c r="B55" i="29" s="1"/>
  <c r="E54" i="2"/>
  <c r="F56" i="2"/>
  <c r="I80" i="30"/>
  <c r="C37" i="29"/>
  <c r="I92" i="30"/>
  <c r="D5" i="29"/>
  <c r="D25" i="29"/>
  <c r="E4" i="29"/>
  <c r="E19" i="29"/>
  <c r="G19" i="13"/>
  <c r="G20" i="13"/>
  <c r="F20" i="13"/>
  <c r="F19" i="13"/>
  <c r="H48" i="2"/>
  <c r="I44" i="2"/>
  <c r="H49" i="2" l="1"/>
  <c r="H51" i="2" s="1"/>
  <c r="K91" i="30" s="1"/>
  <c r="D54" i="29"/>
  <c r="D56" i="29" s="1"/>
  <c r="K107" i="30"/>
  <c r="K102" i="30"/>
  <c r="K108" i="30"/>
  <c r="K99" i="30"/>
  <c r="K106" i="30"/>
  <c r="K105" i="30"/>
  <c r="K103" i="30"/>
  <c r="K100" i="30"/>
  <c r="K104" i="30"/>
  <c r="K109" i="30"/>
  <c r="K98" i="30"/>
  <c r="J91" i="30"/>
  <c r="D39" i="29"/>
  <c r="L96" i="30"/>
  <c r="L90" i="30"/>
  <c r="F26" i="29" s="1"/>
  <c r="G54" i="2"/>
  <c r="D37" i="29" s="1"/>
  <c r="J93" i="30"/>
  <c r="D55" i="29"/>
  <c r="I81" i="30"/>
  <c r="C38" i="29"/>
  <c r="H80" i="30"/>
  <c r="H82" i="30" s="1"/>
  <c r="I82" i="30" s="1"/>
  <c r="B37" i="29"/>
  <c r="E5" i="29"/>
  <c r="E25" i="29"/>
  <c r="F4" i="29"/>
  <c r="F19" i="29"/>
  <c r="G21" i="13"/>
  <c r="F21" i="13"/>
  <c r="I48" i="2"/>
  <c r="J44" i="2"/>
  <c r="E39" i="29" l="1"/>
  <c r="E54" i="29"/>
  <c r="E56" i="29" s="1"/>
  <c r="H53" i="2"/>
  <c r="K93" i="30" s="1"/>
  <c r="H54" i="2"/>
  <c r="E37" i="29" s="1"/>
  <c r="J92" i="30"/>
  <c r="L102" i="30"/>
  <c r="L98" i="30"/>
  <c r="L99" i="30"/>
  <c r="L108" i="30"/>
  <c r="L100" i="30"/>
  <c r="L103" i="30"/>
  <c r="L105" i="30"/>
  <c r="L109" i="30"/>
  <c r="L104" i="30"/>
  <c r="L106" i="30"/>
  <c r="L107" i="30"/>
  <c r="M90" i="30"/>
  <c r="G26" i="29" s="1"/>
  <c r="M96" i="30"/>
  <c r="G56" i="2"/>
  <c r="D38" i="29" s="1"/>
  <c r="J80" i="30"/>
  <c r="J82" i="30" s="1"/>
  <c r="M74" i="30"/>
  <c r="G45" i="29" s="1"/>
  <c r="G47" i="29" s="1"/>
  <c r="J9" i="2"/>
  <c r="G52" i="29" s="1"/>
  <c r="G57" i="29" s="1"/>
  <c r="I9" i="2"/>
  <c r="F52" i="29" s="1"/>
  <c r="L74" i="30"/>
  <c r="F45" i="29" s="1"/>
  <c r="F5" i="29"/>
  <c r="F25" i="29"/>
  <c r="G4" i="29"/>
  <c r="H25" i="29" s="1"/>
  <c r="G19" i="29"/>
  <c r="H19" i="29" s="1"/>
  <c r="J48" i="2"/>
  <c r="E55" i="29" l="1"/>
  <c r="H56" i="2"/>
  <c r="E38" i="29" s="1"/>
  <c r="K80" i="30"/>
  <c r="K92" i="30"/>
  <c r="M105" i="30"/>
  <c r="M99" i="30"/>
  <c r="M102" i="30"/>
  <c r="M103" i="30"/>
  <c r="M108" i="30"/>
  <c r="M98" i="30"/>
  <c r="M109" i="30"/>
  <c r="M104" i="30"/>
  <c r="M100" i="30"/>
  <c r="M107" i="30"/>
  <c r="M106" i="30"/>
  <c r="J81" i="30"/>
  <c r="F57" i="29"/>
  <c r="H52" i="29"/>
  <c r="H57" i="29" s="1"/>
  <c r="F47" i="29"/>
  <c r="H45" i="29"/>
  <c r="H47" i="29" s="1"/>
  <c r="L73" i="30"/>
  <c r="F44" i="29" s="1"/>
  <c r="I47" i="2"/>
  <c r="I49" i="2" s="1"/>
  <c r="I51" i="2" s="1"/>
  <c r="I20" i="2"/>
  <c r="M73" i="30"/>
  <c r="G44" i="29" s="1"/>
  <c r="J47" i="2"/>
  <c r="J49" i="2" s="1"/>
  <c r="J51" i="2" s="1"/>
  <c r="J20" i="2"/>
  <c r="G51" i="29" s="1"/>
  <c r="H4" i="29"/>
  <c r="H5" i="29" s="1"/>
  <c r="K82" i="30"/>
  <c r="H26" i="29"/>
  <c r="G5" i="29"/>
  <c r="G25" i="29"/>
  <c r="K81" i="30" l="1"/>
  <c r="G54" i="29"/>
  <c r="G56" i="29" s="1"/>
  <c r="J54" i="2"/>
  <c r="G37" i="29" s="1"/>
  <c r="G39" i="29"/>
  <c r="M91" i="30"/>
  <c r="F51" i="29"/>
  <c r="H51" i="29" s="1"/>
  <c r="I53" i="2"/>
  <c r="I54" i="2"/>
  <c r="F39" i="29"/>
  <c r="F54" i="29"/>
  <c r="L91" i="30"/>
  <c r="H44" i="29"/>
  <c r="J53" i="2"/>
  <c r="G55" i="29" s="1"/>
  <c r="H54" i="29" l="1"/>
  <c r="H56" i="29" s="1"/>
  <c r="M92" i="30"/>
  <c r="M80" i="30"/>
  <c r="M93" i="30"/>
  <c r="J56" i="2"/>
  <c r="G38" i="29" s="1"/>
  <c r="F37" i="29"/>
  <c r="H37" i="29" s="1"/>
  <c r="L92" i="30"/>
  <c r="I56" i="2"/>
  <c r="L80" i="30"/>
  <c r="L82" i="30" s="1"/>
  <c r="F55" i="29"/>
  <c r="H55" i="29" s="1"/>
  <c r="L93" i="30"/>
  <c r="F56" i="29"/>
  <c r="M82" i="30" l="1"/>
  <c r="M81" i="30"/>
  <c r="F38" i="29"/>
  <c r="L81" i="30"/>
</calcChain>
</file>

<file path=xl/sharedStrings.xml><?xml version="1.0" encoding="utf-8"?>
<sst xmlns="http://schemas.openxmlformats.org/spreadsheetml/2006/main" count="472" uniqueCount="306">
  <si>
    <t>Year 0</t>
  </si>
  <si>
    <t>Year 1</t>
  </si>
  <si>
    <t>Year 2</t>
  </si>
  <si>
    <t>Year 3</t>
  </si>
  <si>
    <t>Year 4</t>
  </si>
  <si>
    <t>Year 5</t>
  </si>
  <si>
    <t>Comments</t>
  </si>
  <si>
    <t>Number of Positions</t>
  </si>
  <si>
    <t>Example: Vice President, Student Services</t>
  </si>
  <si>
    <t>Personnel Expense</t>
  </si>
  <si>
    <t>Operating Expense</t>
  </si>
  <si>
    <t>12 month average SCH load</t>
  </si>
  <si>
    <t>Projected Gross revenue</t>
  </si>
  <si>
    <t>Student Credit Hours</t>
  </si>
  <si>
    <t>Number of students with access to the initiative</t>
  </si>
  <si>
    <t>Average SCH Load</t>
  </si>
  <si>
    <t># of students impacted (utilization population)</t>
  </si>
  <si>
    <t>2. Student Credit Hour Load</t>
  </si>
  <si>
    <t>1. Retention Rate</t>
  </si>
  <si>
    <t>Technology</t>
  </si>
  <si>
    <t>Posted rate up to 12 credit hours</t>
  </si>
  <si>
    <t>Change in students for 1% change in retention (utilization population only)</t>
  </si>
  <si>
    <t>NO DATA ENTRY REQUIRED ON THIS TAB - CONTAINS BACKGROUND CALCULATIONS ONLY</t>
  </si>
  <si>
    <t>*Assumes the retention rate for the college applies to the population utilizing the initiative; however, the rate could be tailored to students in the initiative on the "Institution-wide Data" tab.</t>
  </si>
  <si>
    <t>Year 0
(Start-up)</t>
  </si>
  <si>
    <t>Average increase in SCH load</t>
  </si>
  <si>
    <t>Report total credits (do not restrict to credential-seeking students only).</t>
  </si>
  <si>
    <t>Average Annual Salary</t>
  </si>
  <si>
    <t>Expenditure Detail</t>
  </si>
  <si>
    <t>*SCH Load utilizes the rate users input for calculation #2 below; if data is not input it defaults to the baseline rate.</t>
  </si>
  <si>
    <t>General Data Reporting Instructions:</t>
  </si>
  <si>
    <t xml:space="preserve">• Year 1 is the first year that students are expected to enroll or participate in the initiative. </t>
  </si>
  <si>
    <r>
      <rPr>
        <sz val="11"/>
        <color theme="1"/>
        <rFont val="Calibri"/>
        <family val="2"/>
      </rPr>
      <t>•</t>
    </r>
    <r>
      <rPr>
        <sz val="11"/>
        <color theme="1"/>
        <rFont val="Calibri"/>
        <family val="2"/>
        <scheme val="minor"/>
      </rPr>
      <t xml:space="preserve"> Data should ONLY be entered into YELLOW cells on the data sheets.</t>
    </r>
  </si>
  <si>
    <t>• Year 0/baseline year is the "start-up" or "planning" year for the initiative (before students are enrolled in the initiative). This is frequently the current academic year.</t>
  </si>
  <si>
    <t>Director of Advising</t>
  </si>
  <si>
    <t>Advisors</t>
  </si>
  <si>
    <t>IT staff</t>
  </si>
  <si>
    <t>*Assumes the average SCH Load for the college applies to the population utilizing the initiative.</t>
  </si>
  <si>
    <t>This template includes SAMPLE data for illustrative purposes only; it does not reflect data from an actual initiative.</t>
  </si>
  <si>
    <t>• The spreadsheets are locked to prevent accidental editing of formulas. The password to unlock the spreadsheets is "ROI".</t>
  </si>
  <si>
    <t>Mandatory fees per credit hour</t>
  </si>
  <si>
    <t>Instate/Indistrict tuition rate per credit hour</t>
  </si>
  <si>
    <t>Other Funding</t>
  </si>
  <si>
    <t>*Fall-to-fall retention impacts Year 2 of the initiative, so there is no financial impact in year 1. **v2.0 calculates the impact off the PRIOR YEAR to estimate the impact of the initiative (instead of the baseline to reflect budgetary impact modeled in v1.0).</t>
  </si>
  <si>
    <t>Date</t>
  </si>
  <si>
    <t>Version</t>
  </si>
  <si>
    <t>Tab</t>
  </si>
  <si>
    <t>Dashboard</t>
  </si>
  <si>
    <t>Change</t>
  </si>
  <si>
    <t>Total (UG &amp; GR) student credit hours attempted (12 months)</t>
  </si>
  <si>
    <t>Total undergraduate student credit hours attempted (12 months)</t>
  </si>
  <si>
    <t>State and local appropriations per credit hour (UG&amp;GR)</t>
  </si>
  <si>
    <t>Developed by rpk GROUP, 2022 (v. 1.0)</t>
  </si>
  <si>
    <t xml:space="preserve">The Advising Redesign Financial Model is designed to assist colleges as they consider investing in new advising structures or related student success initiatives. </t>
  </si>
  <si>
    <t>Instructions</t>
  </si>
  <si>
    <t>Revenue &amp; Expense</t>
  </si>
  <si>
    <t>Assumptions</t>
  </si>
  <si>
    <t>Input Cells in Yellow</t>
  </si>
  <si>
    <t>Model default values</t>
  </si>
  <si>
    <t>Fiscal Years</t>
  </si>
  <si>
    <t>Revenue Inflation Increase (%)</t>
  </si>
  <si>
    <t>Expense Inflation Increase (%)</t>
  </si>
  <si>
    <t>Employee Salary Increase (%)</t>
  </si>
  <si>
    <t>Employee Benefits (%)</t>
  </si>
  <si>
    <t>% of employee salaries</t>
  </si>
  <si>
    <t xml:space="preserve">Applied as a % of direct expenses; includes general overhead support (HR, IT, Finance, Facilities, etc.) </t>
  </si>
  <si>
    <t>Increases salary expenses each year beginning in year 1</t>
  </si>
  <si>
    <t>Increases expenses each year beginning in year 1</t>
  </si>
  <si>
    <t>Increases pricing for each year beginning in year 1</t>
  </si>
  <si>
    <t>Consultants-Professional Fees</t>
  </si>
  <si>
    <t>Office supplies, Printing &amp; Postage</t>
  </si>
  <si>
    <t>Computer Software and Licenses</t>
  </si>
  <si>
    <t>Contractual Services</t>
  </si>
  <si>
    <t>Professional Development</t>
  </si>
  <si>
    <t>Expenses</t>
  </si>
  <si>
    <t>Faculty/Staff Stipends</t>
  </si>
  <si>
    <t>Student Stipends</t>
  </si>
  <si>
    <t>Employee Salaries</t>
  </si>
  <si>
    <t>Employee Benefits</t>
  </si>
  <si>
    <t>Other Expenses</t>
  </si>
  <si>
    <t>Student Expenses:</t>
  </si>
  <si>
    <t>Tuition Waivers</t>
  </si>
  <si>
    <t>Textbook Support</t>
  </si>
  <si>
    <t>Total Direct Expenses</t>
  </si>
  <si>
    <t>Total Indirect Expenses</t>
  </si>
  <si>
    <t>Operating Cost Discount</t>
  </si>
  <si>
    <t>Institution Overhead/Indirect Expenses (optional)</t>
  </si>
  <si>
    <t>See 'Assumptions' tab</t>
  </si>
  <si>
    <t>Revenue</t>
  </si>
  <si>
    <t xml:space="preserve">Earned Revenue </t>
  </si>
  <si>
    <t>Institutional Support - budgeted/new</t>
  </si>
  <si>
    <t>Institutional Support - reallocated</t>
  </si>
  <si>
    <t>Total Funding</t>
  </si>
  <si>
    <t>Government Grants &amp; Contracts</t>
  </si>
  <si>
    <t>Foundation Grants</t>
  </si>
  <si>
    <t>Government Appropriations</t>
  </si>
  <si>
    <t>Total Revenue</t>
  </si>
  <si>
    <t>Total Expenses</t>
  </si>
  <si>
    <t>Net Revenue</t>
  </si>
  <si>
    <t>Initiative or Institution Overhead %</t>
  </si>
  <si>
    <t>Enter zero to model direct costs only.</t>
  </si>
  <si>
    <t>Operating Cost Discount (%)</t>
  </si>
  <si>
    <t>Applied as a % of earned revenue</t>
  </si>
  <si>
    <t>Note: All salaries and recurring operating expenses are adjusted for inflation.</t>
  </si>
  <si>
    <t>Total Salary Expense</t>
  </si>
  <si>
    <t>Note: All salary expenses are adjusted for inflation.</t>
  </si>
  <si>
    <t>Position/Employee</t>
  </si>
  <si>
    <t>% of Time Allocated to Initiative Activity</t>
  </si>
  <si>
    <t>Employee Time &amp; Salary Expense</t>
  </si>
  <si>
    <t>Facility Rental or Expense</t>
  </si>
  <si>
    <t>Total revenue (earned and funded) less total expenses (direct and indirect)</t>
  </si>
  <si>
    <t>See 'Employee Time &amp; Salary Expense' tab</t>
  </si>
  <si>
    <t xml:space="preserve">Include compensation paid from institutional budgets; EXCLUDE any compensation paid from other sources </t>
  </si>
  <si>
    <t>Institution Name:</t>
  </si>
  <si>
    <t>Initiative Name:</t>
  </si>
  <si>
    <t>Out-of-state tuition rate per credit hour</t>
  </si>
  <si>
    <t>Undergraduate Tuition &amp; Fees</t>
  </si>
  <si>
    <t>Undergraduate Enrollment</t>
  </si>
  <si>
    <t>Total undergraduate enrollment (12 months)</t>
  </si>
  <si>
    <t>Unduplicated headcount</t>
  </si>
  <si>
    <t>% instate</t>
  </si>
  <si>
    <t xml:space="preserve">e.g., comprehensive fee, technology fee, student services fee, capital fee; exclude term/annual fees. </t>
  </si>
  <si>
    <t>Advising Activity &amp; ROI Levers</t>
  </si>
  <si>
    <t>State &amp; Local Support</t>
  </si>
  <si>
    <t>Annual Retention Rate (Year 1 to Year 2)</t>
  </si>
  <si>
    <t xml:space="preserve">Alternately, the rate can be customized to the population of students impacted by the initiative. </t>
  </si>
  <si>
    <t>Total state &amp; local appropriations revenue (optional)</t>
  </si>
  <si>
    <t>To exclude state &amp; local appropriations from ROI calculations enter 0; this limits ROI to tuition &amp; fee revenue.</t>
  </si>
  <si>
    <t xml:space="preserve">All first-time undergraduates (full-time, part-time, and transfer students). </t>
  </si>
  <si>
    <t>Annual change in UG Retention Rate</t>
  </si>
  <si>
    <t>Annual change in UG Student Credit Hour Load</t>
  </si>
  <si>
    <t xml:space="preserve">All undergraduate students. </t>
  </si>
  <si>
    <t>Advising Activity</t>
  </si>
  <si>
    <t>Return on Investment (ROI) Levers</t>
  </si>
  <si>
    <t>Projected Change in Retention &amp; SCH Load Resulting from the Initiative</t>
  </si>
  <si>
    <t>In-state: Average revenue per SCH (tuition/fees &amp; S/L)</t>
  </si>
  <si>
    <t>Out-of-state: Average revenue per SCH (tuition/fees &amp; S/L)</t>
  </si>
  <si>
    <t xml:space="preserve">Change in Retention Rate </t>
  </si>
  <si>
    <t>Out-of-state portion</t>
  </si>
  <si>
    <t>In-state portion</t>
  </si>
  <si>
    <t>Projected Gross revenue - in-state</t>
  </si>
  <si>
    <t>Projected Gross revenue - Out-of-state</t>
  </si>
  <si>
    <t>Out-of-state: Average revenue per SCH (tuition/fees only)</t>
  </si>
  <si>
    <t>In-state: Average revenue per SCH (tuition/fees only)</t>
  </si>
  <si>
    <t>Institution Data</t>
  </si>
  <si>
    <t>Earned Net Revenue</t>
  </si>
  <si>
    <t>Earned revenue less total expenses (direct and indirect)</t>
  </si>
  <si>
    <t>Return on Investment %</t>
  </si>
  <si>
    <t>Earned net revenue divided by total expenses (e.g., percent gain/loss on the investment)</t>
  </si>
  <si>
    <t>Emergency Aid</t>
  </si>
  <si>
    <t>Personal support (transit, childcare)</t>
  </si>
  <si>
    <t>Average annual undergraduate student credit hour (SCH) load</t>
  </si>
  <si>
    <t>All Years</t>
  </si>
  <si>
    <t>Figure 1 - Initiative Funding &amp; Direct Expenses</t>
  </si>
  <si>
    <t>*does not include earned revenue; includes prior investment revenue in Year 0</t>
  </si>
  <si>
    <t>Direct Expenses</t>
  </si>
  <si>
    <t>*does not include indirect expenses</t>
  </si>
  <si>
    <r>
      <t>Initiative Surplus (</t>
    </r>
    <r>
      <rPr>
        <b/>
        <sz val="11"/>
        <color rgb="FFFF0000"/>
        <rFont val="Calibri"/>
        <family val="2"/>
        <scheme val="minor"/>
      </rPr>
      <t>Deficit</t>
    </r>
    <r>
      <rPr>
        <b/>
        <sz val="11"/>
        <color theme="1"/>
        <rFont val="Calibri"/>
        <family val="2"/>
        <scheme val="minor"/>
      </rPr>
      <t>)</t>
    </r>
  </si>
  <si>
    <t>check</t>
  </si>
  <si>
    <t>Figure 2 - Distribution of Direct Expenses</t>
  </si>
  <si>
    <t>Compensation</t>
  </si>
  <si>
    <t>*includes benefits on stipends</t>
  </si>
  <si>
    <t>Marketing/Comms &amp; PD</t>
  </si>
  <si>
    <t>Contractual/Consulting Services</t>
  </si>
  <si>
    <t>All Other Operating Expenses</t>
  </si>
  <si>
    <t>*includes prior investment in Year 0</t>
  </si>
  <si>
    <t>Figure 3 - Annual Direct Expenses per Enrollment</t>
  </si>
  <si>
    <t>Figure 5 - Annual Net Revenue &amp; Return on Investment ('Breakeven')</t>
  </si>
  <si>
    <t>Earned Net Revenue ($)</t>
  </si>
  <si>
    <t>Return on Investment (%)</t>
  </si>
  <si>
    <t>2023-2028</t>
  </si>
  <si>
    <t>Figure 1</t>
  </si>
  <si>
    <t>Figure 2</t>
  </si>
  <si>
    <t>This graph shows whether the initiative has adequate financial planning and support.</t>
  </si>
  <si>
    <t>This graph shows the areas of spending that drive the overall cost of the initiative</t>
  </si>
  <si>
    <t xml:space="preserve"> </t>
  </si>
  <si>
    <t>Figure 3</t>
  </si>
  <si>
    <t>Figure 4</t>
  </si>
  <si>
    <t>Figure 5</t>
  </si>
  <si>
    <t>KEY METRICS</t>
  </si>
  <si>
    <t>Return on Investment (ROI)</t>
  </si>
  <si>
    <t>Annual Earned Net Revenue $ ('Breakeven')</t>
  </si>
  <si>
    <t xml:space="preserve"> --</t>
  </si>
  <si>
    <t>Cumulative Earned Net Revenue $ ('Payback')</t>
  </si>
  <si>
    <t>Unit Costs</t>
  </si>
  <si>
    <t>TOTAL DIRECT EXPENSES</t>
  </si>
  <si>
    <t>Travel/Meetings</t>
  </si>
  <si>
    <t>General Operating</t>
  </si>
  <si>
    <t>Other</t>
  </si>
  <si>
    <t>Faculty/Staff/Student Stipends</t>
  </si>
  <si>
    <t>Marketing &amp; Communication</t>
  </si>
  <si>
    <t>Travel, Meetings &amp; Conferences</t>
  </si>
  <si>
    <t>Office and IT Hardware</t>
  </si>
  <si>
    <t>Prior-year investment (optional)</t>
  </si>
  <si>
    <t>Student Expenses</t>
  </si>
  <si>
    <t>Utilization Rate</t>
  </si>
  <si>
    <t>Direct Expense per Unit (student use)</t>
  </si>
  <si>
    <t>Total Expense per Unit (student use)</t>
  </si>
  <si>
    <t>Earned Net Revenue per Unit (student use)</t>
  </si>
  <si>
    <t>Total Net Revenue per Unit (student use)</t>
  </si>
  <si>
    <t>Total Direct Expense per Student (use)</t>
  </si>
  <si>
    <t>*total excludes year 0</t>
  </si>
  <si>
    <t>2022-23</t>
  </si>
  <si>
    <t>2023-24</t>
  </si>
  <si>
    <t>2024-25</t>
  </si>
  <si>
    <t>2025-26</t>
  </si>
  <si>
    <t>2026-27</t>
  </si>
  <si>
    <t>2027-28</t>
  </si>
  <si>
    <t>Figure 4 - Student Utilization Rate (All Years)</t>
  </si>
  <si>
    <t>Student Saturation Rate (use / all undergraduates)</t>
  </si>
  <si>
    <t>Student Utilization Rate (use / undergraduates with access)</t>
  </si>
  <si>
    <t>Student Access Rate (access / all undergraduates)</t>
  </si>
  <si>
    <t>Student Access rate (% undergraduates with access)</t>
  </si>
  <si>
    <t>Student Saturation rate (% use by all undergraduates)</t>
  </si>
  <si>
    <t>Student Utilization Rate (% use by undergraduates with access)</t>
  </si>
  <si>
    <t>Student Support</t>
  </si>
  <si>
    <t>*earned revenue - total expenses (all direct &amp; all indirect)</t>
  </si>
  <si>
    <t>From changes in student retention</t>
  </si>
  <si>
    <t>From changes in student course load</t>
  </si>
  <si>
    <t>Figure 7 - Annual Net Revenue &amp; Return on Investment ('Breakeven')</t>
  </si>
  <si>
    <t>Figure 6 - Initiative Funding &amp; Direct Expenses</t>
  </si>
  <si>
    <t>Gross Earned Revenue from change in student retention</t>
  </si>
  <si>
    <t>Gross Earned Revenue from change in annual course load average</t>
  </si>
  <si>
    <t>Gross Earned Revenue</t>
  </si>
  <si>
    <t>Total Revenue (Earned &amp; Funded)</t>
  </si>
  <si>
    <t>Total Expenses (Direct &amp; Indirect)</t>
  </si>
  <si>
    <t>Year 2 (p)</t>
  </si>
  <si>
    <t>Year 3 (p)</t>
  </si>
  <si>
    <t>Year 4 (p)</t>
  </si>
  <si>
    <t>Year 5 (p)</t>
  </si>
  <si>
    <t>Year 1 (p)</t>
  </si>
  <si>
    <t xml:space="preserve">This graph shows the projected earned net revenue and the return on investment (ROI).  Earned et revenue reflects the gross revenue from enrollment/retention-related tuition &amp; fees (and appropriations), less direct expenses (compensation and operating) and indirect expenses (operating costs for increased course taking activity and overhead costs). ROI is the earned net revenue as a percentage of direct and indirect expenses. 
</t>
  </si>
  <si>
    <t>Figure 6</t>
  </si>
  <si>
    <r>
      <t xml:space="preserve">Annual Student course load average (actual &amp; </t>
    </r>
    <r>
      <rPr>
        <i/>
        <sz val="9"/>
        <color theme="1" tint="0.34998626667073579"/>
        <rFont val="Calibri"/>
        <family val="2"/>
        <scheme val="minor"/>
      </rPr>
      <t>projected</t>
    </r>
    <r>
      <rPr>
        <sz val="9"/>
        <color theme="1" tint="0.34998626667073579"/>
        <rFont val="Calibri"/>
        <family val="2"/>
        <scheme val="minor"/>
      </rPr>
      <t>)</t>
    </r>
  </si>
  <si>
    <r>
      <t xml:space="preserve">Student retention (actual &amp; </t>
    </r>
    <r>
      <rPr>
        <i/>
        <sz val="9"/>
        <color theme="1" tint="0.34998626667073579"/>
        <rFont val="Calibri"/>
        <family val="2"/>
        <scheme val="minor"/>
      </rPr>
      <t>projected</t>
    </r>
    <r>
      <rPr>
        <sz val="9"/>
        <color theme="1" tint="0.34998626667073579"/>
        <rFont val="Calibri"/>
        <family val="2"/>
        <scheme val="minor"/>
      </rPr>
      <t>)</t>
    </r>
  </si>
  <si>
    <t>Average annual student credit hour (SCH) load (undergraduates)</t>
  </si>
  <si>
    <t>Annual retention rate (undergraduates)</t>
  </si>
  <si>
    <t xml:space="preserve">This graph shows the cost of the initiative per student enrolled, and how expanding student use lowers the cost per student served. The student utilization rate shows the proportion of students with access to the initiative that are utilizing the services, and whether there is capacity to serve more students.  </t>
  </si>
  <si>
    <t xml:space="preserve">This graph shows the gross earned revenue and sources of that revenue (changes in student retention and/or average student credit hour load. (See Figure 5 for net revenue and ROI.)
</t>
  </si>
  <si>
    <t xml:space="preserve">This graph shows the projected revenue from all sources and the total expenses (direct and indirect) and net revenue. This shows whether there is adequate funding for the initiative, and whether there is excess net revenue that could be reinvested in this or other campus initiatives. 
</t>
  </si>
  <si>
    <t>If the initiative is not expected to impact student retention or average student credit hour load, the model can still be used as a budgeting and planning tool without projecting changes in student behavior and the resulting earned revenue.</t>
  </si>
  <si>
    <t>• Light grey data cells are populated with either recommended values (based on industry standards) or formulas; these may be modified/overwritten with data specific to your college or initiative, as appropriate.</t>
  </si>
  <si>
    <t xml:space="preserve">• Data entry is prohibited in the dark grey/white cells; these cells contain formulas that will automatically calculate the appropriate metrics. </t>
  </si>
  <si>
    <t>Anticipated Cost Savings (optional)</t>
  </si>
  <si>
    <t>Potential savings generated from initiative redesign. Report as NEGATIVE number.</t>
  </si>
  <si>
    <r>
      <rPr>
        <b/>
        <sz val="11"/>
        <color theme="1"/>
        <rFont val="Calibri"/>
        <family val="2"/>
        <scheme val="minor"/>
      </rPr>
      <t>IPEDS DATA ACCESS</t>
    </r>
    <r>
      <rPr>
        <sz val="11"/>
        <color theme="1"/>
        <rFont val="Calibri"/>
        <family val="2"/>
        <scheme val="minor"/>
      </rPr>
      <t xml:space="preserve">
• To access IPEDS Data, go to:</t>
    </r>
    <r>
      <rPr>
        <u/>
        <sz val="11"/>
        <color theme="10"/>
        <rFont val="Calibri"/>
        <family val="2"/>
        <scheme val="minor"/>
      </rPr>
      <t xml:space="preserve"> https://nces.ed.gov/ipeds/use-the-data</t>
    </r>
    <r>
      <rPr>
        <sz val="11"/>
        <color theme="1"/>
        <rFont val="Calibri"/>
        <family val="2"/>
        <scheme val="minor"/>
      </rPr>
      <t xml:space="preserve">. </t>
    </r>
  </si>
  <si>
    <t>1) Select "Look Up an Institution". Type institution name in box and select. Click on the hyperlinked name. 
2) Select "Reported Data":
     • 12-month Enrollment link: the summary near the bottom provides 12-month total undergraduate &amp; graduate credit hour activity. 
     • Finance link: 
           - Part B, rows 11 &amp; 12, sum to obtain state &amp; local appropriations
                  - CALCULATE: S&amp;L appropriations per credit hour = (S&amp;L appropriations/12-month undergraduate credit hour activity)
           - Part C-2, Line No. 19-3 and 19-2
                  - CALCULATE: FT Benefit rate = (Benefits / Salaries and Wages) * 100</t>
  </si>
  <si>
    <t>% using/benefiting expected to graduate in the current year</t>
  </si>
  <si>
    <t>Create a Structured Advising Program for First-generation Students</t>
  </si>
  <si>
    <t>Number of students directly using/benefiting from the initiative</t>
  </si>
  <si>
    <t>VP of Student Success</t>
  </si>
  <si>
    <t>Emergency aid coordinator</t>
  </si>
  <si>
    <t>Peer mentor coordinator</t>
  </si>
  <si>
    <t>New First-Gen Advisors</t>
  </si>
  <si>
    <t>2 new laptops for new advisors</t>
  </si>
  <si>
    <t>$250/year for 100 students</t>
  </si>
  <si>
    <t>Utilization Population less graduates</t>
  </si>
  <si>
    <t>Grant to support redesign work</t>
  </si>
  <si>
    <t>Marginal cost of instruction-related activity associated with additional course taking. See 'Assumptions' tab</t>
  </si>
  <si>
    <t>Tutoring coordinator</t>
  </si>
  <si>
    <t>20 peer mentors @ 500/year</t>
  </si>
  <si>
    <t>New advising software &amp; maintenance fees (share of total cost allocated to first-gen services)</t>
  </si>
  <si>
    <t>Annual retention rate (undergraduate)</t>
  </si>
  <si>
    <t>Actual &amp; projected rate from 'Advising Activity &amp; ROI Levers' tab</t>
  </si>
  <si>
    <t>Current</t>
  </si>
  <si>
    <t>Equity Goals</t>
  </si>
  <si>
    <t>rpk GROUP | Advising Redesign Financial Model</t>
  </si>
  <si>
    <t>In Collaboration with American Association of State Colleges and Universities (AASCU) &amp; Advising Success Network (ASN)</t>
  </si>
  <si>
    <t>Accompanying this financial model are two supporting resources:</t>
  </si>
  <si>
    <t>1. The Business Model Case for Sustainable Advising Redesign: A Senior Leadership Primer</t>
  </si>
  <si>
    <t>2. The Business Model Case for Sustainable Advising Redesign: A Toolkit</t>
  </si>
  <si>
    <t xml:space="preserve">The financial model provides colleges with a tool to evaluate the expenditures and resources needed to support a new or redesigned advising initiative, as well as the potential return on investment from changes in student behavior resulting from those investments. 
The model examines: 1) the resources (expenditures and funding) necessary to support the initiative, 2) the projected net revenue from initiative-related improvements in student outcomes (retention and credit hours), and 3) the return on investment (ROI), which compares the financial benefits to the institution against the cost of developing and operating a new advising-related initiative. 
This model is designed to capture the financial return to colleges, universities or education systems; it does not estimate the return on investment to students participating in these initiatives.   </t>
  </si>
  <si>
    <t xml:space="preserve">Additional instructions on populating, interpretating, and using the information produced by the financial model is included in the Toolkit (link above). The toolkit appendix also includes a use-case example developed from the sample data shown in this file.  </t>
  </si>
  <si>
    <t>The Business Model Case for Sustainable Advising Redesign: A Toolkit</t>
  </si>
  <si>
    <t>Additional instructions and guidance are provided in Appendix B &amp; C in:</t>
  </si>
  <si>
    <t xml:space="preserve">After the baseline model is established, these ROI levers can be adjusted to model alternate ROI scenarios (shown on the 'Dashboard' tab). </t>
  </si>
  <si>
    <r>
      <rPr>
        <b/>
        <sz val="11"/>
        <color theme="1"/>
        <rFont val="Calibri"/>
        <family val="2"/>
        <scheme val="minor"/>
      </rPr>
      <t xml:space="preserve">A. Identify the scope of advising redesign initiative </t>
    </r>
    <r>
      <rPr>
        <sz val="11"/>
        <color theme="1"/>
        <rFont val="Calibri"/>
        <family val="2"/>
        <scheme val="minor"/>
      </rPr>
      <t xml:space="preserve">the college is interested in implementing, expanding, or re-envisioning. The model can accommodate a holistic redesign or a student success initiative with a narrower focus that is expected to impact student retention and/or average student credit hour load. [Examples include: advising redesign; technology-assisted advising; intensive student support programs (ASAP); tutoring programs; on-boarding redesign, etc.] 
</t>
    </r>
  </si>
  <si>
    <r>
      <rPr>
        <b/>
        <sz val="11"/>
        <color theme="1"/>
        <rFont val="Calibri"/>
        <family val="2"/>
        <scheme val="minor"/>
      </rPr>
      <t>B. Identify a data lead and/or team</t>
    </r>
    <r>
      <rPr>
        <sz val="11"/>
        <color theme="1"/>
        <rFont val="Calibri"/>
        <family val="2"/>
        <scheme val="minor"/>
      </rPr>
      <t xml:space="preserve"> from the initiative working group to assist in collecting data and populating the template. The working group team members may include: project staff familiar with the initiative; VP of Student Success, advising director, and a representative from the business/finance office; supplemental information may be requested from staff in institutional research and human resources.</t>
    </r>
  </si>
  <si>
    <r>
      <rPr>
        <b/>
        <sz val="11"/>
        <color theme="1"/>
        <rFont val="Calibri"/>
        <family val="2"/>
        <scheme val="minor"/>
      </rPr>
      <t>STEPS 5 &amp; 6: Revenue &amp; Expense</t>
    </r>
    <r>
      <rPr>
        <sz val="11"/>
        <color theme="1"/>
        <rFont val="Calibri"/>
        <family val="2"/>
        <scheme val="minor"/>
      </rPr>
      <t xml:space="preserve">
1) This model is intended to capture ALL funding and expenses associated with the redesign initiative; if the work is supported by a grant(s), it should NOT be limited to grant-funded activities.
2) Report all sources of funding for the initiative.
3) Report operating expenses applicable to the initiative; categories that are not relevant for a particular initiative may remain blank. 
4) Expenses are automatically projected to continue in the outyears and are inflated at the rate on "Assumptions" tab. If expenses are not recurring, enter zero in the outyears. If outyear expenses are known, they may be entered directly for those years, overwriting the formulas provided. 
5) Operating expenses should include only non-compensation expenditures, unless included as part of a contractual agreement (e.g., consultants, and contracted marketing services, temporary help agencies, etc.). 
• Report all prior investment  in the initiative, without which the current initiative activity would not be possible. Report any personnel or operating expenses during the prior three years that support the current initiative activity. The model assumes that initial investment was fully funded and is captured in the funding section (row 17).
• Report any anticipated savings expected from the initiative (optional). For example, if the initiative could automate current functions and therefore reduce staff time on this activity, or eliminate the need to maintain legacy technology programs.</t>
    </r>
  </si>
  <si>
    <r>
      <rPr>
        <b/>
        <sz val="11"/>
        <color theme="1"/>
        <rFont val="Calibri"/>
        <family val="2"/>
        <scheme val="minor"/>
      </rPr>
      <t>STEP 4: Employee Time &amp; Salary Expense</t>
    </r>
    <r>
      <rPr>
        <sz val="11"/>
        <color theme="1"/>
        <rFont val="Calibri"/>
        <family val="2"/>
        <scheme val="minor"/>
      </rPr>
      <t xml:space="preserve">
1) Report all positions (or individual staff) involved in the design, implementation, or execution of the redesign initiative (e.g., project staff, advising directors and staff, senior leadership, and other student success or technical staff (e.g., coaches, professional development staff, IT staff). All staff time related to the NEW redesign initiative should be captured regardless of whether it is internally or externally funded (e.g., DO NOT limit staff/positions to only those funded through a grant budget); EXCLUDE staff time spent on existing duties/activities that are unaffected by the redesign.
2) Report the average annual salary for the staff or positions reported. Salaries are automatically inflated at a the rate show on the "Assumptions" tab.
3) Report the number of initiative staff in each position.
4) Report the proportion of time staff in each position are expected to spend on the initiative; time estimates may vary by year. If staff in the same position are expected to spend different amounts of time on the initiative, estimate the average hours across staff or enter staff on separate lines.</t>
    </r>
  </si>
  <si>
    <r>
      <rPr>
        <b/>
        <sz val="11"/>
        <color theme="1"/>
        <rFont val="Calibri"/>
        <family val="2"/>
        <scheme val="minor"/>
      </rPr>
      <t>STEP 2: Advising Activity &amp; ROI Levers</t>
    </r>
    <r>
      <rPr>
        <sz val="11"/>
        <color theme="1"/>
        <rFont val="Calibri"/>
        <family val="2"/>
        <scheme val="minor"/>
      </rPr>
      <t xml:space="preserve">
1) Estimate the number of undergraduate students expected to have access the redesigned advising initiative and the number expected to use it. The number reported should not exceed the number of undergraduate students reported on the "Institution Data" tab, row 12.
2) The number of student reported to "use" the initiative (current tab, row 11) is used to calculate the ROI estimates.
3) Projected anticipated changes in student retention and/or student credit hour load as a result of the redesigned advising initiative. Once the model is complete, these entries can be used to establish a "baseline" model, and then subsequently adjusted to model different scenarios and their impact on net revenue and ROI. </t>
    </r>
  </si>
  <si>
    <r>
      <rPr>
        <b/>
        <sz val="11"/>
        <color theme="1"/>
        <rFont val="Calibri"/>
        <family val="2"/>
        <scheme val="minor"/>
      </rPr>
      <t>STEP 1: Institution Data</t>
    </r>
    <r>
      <rPr>
        <sz val="11"/>
        <color theme="1"/>
        <rFont val="Calibri"/>
        <family val="2"/>
        <scheme val="minor"/>
      </rPr>
      <t xml:space="preserve">
1) Report current enrollment and project expected enrollment; if projected enrollment trends are unknown then enrollment can be projected to remain steady. The percent of in-state students can be obtained from www.collegenavigator.gov (enrollment).
2) The number of graduate and undergraduate student credits hours attempted and total state &amp; local appropriations can be obtained from IPEDS (see instructions below). 
3) The retention rate can be obtained from your institution or estimated using information from (http://www.collegenavigator.gov) (retention) or IPEDS.
4) Refer to the tuition and fees page on your college's website to report the in-district and out-of-state credit hour tuition and the sum of mandatory fees.</t>
    </r>
  </si>
  <si>
    <r>
      <rPr>
        <b/>
        <sz val="11"/>
        <color theme="1"/>
        <rFont val="Calibri"/>
        <family val="2"/>
        <scheme val="minor"/>
      </rPr>
      <t>STEP 7: Assumptions
Review the model assumptions on the BLUE tab.</t>
    </r>
    <r>
      <rPr>
        <sz val="11"/>
        <color theme="1"/>
        <rFont val="Calibri"/>
        <family val="2"/>
        <scheme val="minor"/>
      </rPr>
      <t xml:space="preserve"> The data assumptions are used in underlying model calculations. The benefit rates can be customized to reflect the rate at your institution (see below for instructions). The 'overhead rate' is currently set to zero but may be customized for your institution.</t>
    </r>
  </si>
  <si>
    <r>
      <rPr>
        <b/>
        <sz val="11"/>
        <color theme="1"/>
        <rFont val="Calibri"/>
        <family val="2"/>
        <scheme val="minor"/>
      </rPr>
      <t>STEPS 8 &amp; 9: Dashboard
Review key metrics and ROI estimates on the RED "Dashboard" tab:</t>
    </r>
    <r>
      <rPr>
        <sz val="11"/>
        <color theme="1"/>
        <rFont val="Calibri"/>
        <family val="2"/>
        <scheme val="minor"/>
      </rPr>
      <t xml:space="preserve"> The initiative's financial impact is shown in graphic and tabular formats. The dashboard can simulate different ROI scenarios by changing the estimated impact on student performance (entered on the "Advising Activity &amp; ROI Levers" tab). </t>
    </r>
  </si>
  <si>
    <t>Other groups (e.g., adults, first-generation, transfers, etc.)</t>
  </si>
  <si>
    <t>Race/ethnic groups</t>
  </si>
  <si>
    <r>
      <rPr>
        <b/>
        <sz val="11"/>
        <color theme="1"/>
        <rFont val="Calibri"/>
        <family val="2"/>
        <scheme val="minor"/>
      </rPr>
      <t>C. Enter data requested on the YELLOW and GREEN tabs:</t>
    </r>
    <r>
      <rPr>
        <sz val="11"/>
        <color theme="1"/>
        <rFont val="Calibri"/>
        <family val="2"/>
        <scheme val="minor"/>
      </rPr>
      <t xml:space="preserve"> Members of the data team should populate the YELLOW cells in the model with requested information specific to the institution and the initiative. </t>
    </r>
  </si>
  <si>
    <t>Annual Equity Goal - Student Retention Rates</t>
  </si>
  <si>
    <t>These metrics support goal setting and monitoring progress; they do not directly impact the financial model calculations.</t>
  </si>
  <si>
    <t>Economic groups (e.g., Pell)</t>
  </si>
  <si>
    <r>
      <rPr>
        <b/>
        <sz val="11"/>
        <color theme="1"/>
        <rFont val="Calibri"/>
        <family val="2"/>
        <scheme val="minor"/>
      </rPr>
      <t>STEP 3: Equity Goals</t>
    </r>
    <r>
      <rPr>
        <sz val="11"/>
        <color theme="1"/>
        <rFont val="Calibri"/>
        <family val="2"/>
        <scheme val="minor"/>
      </rPr>
      <t xml:space="preserve">
1) Use the green tab to set equity goals for student retention. Goals may be set for self-selected groups of student, such as race/ethnicity and indicators of economic security, or other groups for which monitoring equity impacts is important. 
2) The data reported on this tab is only for goal setting and the monitoring of progress toward those equity goals. The data on the 'Equity Goals' tab does not impact any calculations in the financial model. </t>
    </r>
  </si>
  <si>
    <t>Report current retention rates for student subgroups and the progress required each year to meet a the goal rate within 5 years.</t>
  </si>
  <si>
    <t>*Only includes students utilizing the initiative. Do not exclude graduates b/c this is same year advising &amp; activity.</t>
  </si>
  <si>
    <t>**calculates the impact off the PRIOR YEAR to estimate the impact of the initiative (instead of the baseline to reflect budgetary impact).</t>
  </si>
  <si>
    <t>*Only includes students utilizing the initiative. LAGGED one year, to report enrollment in the retained year.</t>
  </si>
  <si>
    <t>ROI Calculations</t>
  </si>
  <si>
    <t>Undergraduate Retention Rate</t>
  </si>
  <si>
    <t>Exclude incidental fees for labs, specific courses, registration, parking, health, etc.</t>
  </si>
  <si>
    <t>Student Success University (SSU)</t>
  </si>
  <si>
    <t>Pell</t>
  </si>
  <si>
    <t>First-generation</t>
  </si>
  <si>
    <t>American Indian or Alaska Native</t>
  </si>
  <si>
    <t>Asian</t>
  </si>
  <si>
    <t>Black/African American</t>
  </si>
  <si>
    <t>Hispanic/Latino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</si>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</sst>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quot;$&quot;#,##0.00"/>
    <numFmt numFmtId="168" formatCode="0.0"/>
    <numFmt numFmtId="169" formatCode="_(* #,##0_);_(* \(#,##0\);_(* &quot;-&quot;??_);_(@_)"/>
    <numFmt numFmtId="170" formatCode="#,##0.0"/>
  </numFmts>
  <fonts count="6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2"/>
      <color theme="1"/>
      <name val="Calibri"/>
      <family val="2"/>
      <scheme val="minor"/>
    </font>
    <font>
      <b/>
      <sz val="14"/>
      <name val="Calibri"/>
      <family val="2"/>
      <scheme val="minor"/>
    </font>
    <font>
      <sz val="12"/>
      <name val="Calibri"/>
      <family val="2"/>
      <scheme val="minor"/>
    </font>
    <font>
      <b/>
      <sz val="10"/>
      <name val="Calibri"/>
      <family val="2"/>
      <scheme val="minor"/>
    </font>
    <font>
      <b/>
      <sz val="11"/>
      <name val="Calibri"/>
      <family val="2"/>
      <scheme val="minor"/>
    </font>
    <font>
      <b/>
      <sz val="12"/>
      <name val="Calibri"/>
      <family val="2"/>
      <scheme val="minor"/>
    </font>
    <font>
      <i/>
      <sz val="11"/>
      <name val="Calibri"/>
      <family val="2"/>
      <scheme val="minor"/>
    </font>
    <font>
      <sz val="11"/>
      <name val="Calibri"/>
      <family val="2"/>
      <scheme val="minor"/>
    </font>
    <font>
      <b/>
      <sz val="12"/>
      <color theme="1"/>
      <name val="Calibri"/>
      <family val="2"/>
      <scheme val="minor"/>
    </font>
    <font>
      <i/>
      <sz val="11"/>
      <color theme="2" tint="-0.499984740745262"/>
      <name val="Calibri"/>
      <family val="2"/>
      <scheme val="minor"/>
    </font>
    <font>
      <b/>
      <i/>
      <sz val="11"/>
      <color theme="1"/>
      <name val="Calibri"/>
      <family val="2"/>
      <scheme val="minor"/>
    </font>
    <font>
      <b/>
      <sz val="11"/>
      <color rgb="FFFF0000"/>
      <name val="Calibri"/>
      <family val="2"/>
      <scheme val="minor"/>
    </font>
    <font>
      <i/>
      <sz val="10"/>
      <color theme="1"/>
      <name val="Calibri"/>
      <family val="2"/>
      <scheme val="minor"/>
    </font>
    <font>
      <i/>
      <sz val="12"/>
      <color theme="1"/>
      <name val="Calibri"/>
      <family val="2"/>
      <scheme val="minor"/>
    </font>
    <font>
      <b/>
      <i/>
      <sz val="12"/>
      <color rgb="FFFF0000"/>
      <name val="Calibri"/>
      <family val="2"/>
      <scheme val="minor"/>
    </font>
    <font>
      <b/>
      <i/>
      <sz val="10.5"/>
      <color theme="0"/>
      <name val="Calibri"/>
      <family val="2"/>
      <scheme val="minor"/>
    </font>
    <font>
      <b/>
      <i/>
      <sz val="10.5"/>
      <name val="Calibri"/>
      <family val="2"/>
      <scheme val="minor"/>
    </font>
    <font>
      <b/>
      <i/>
      <sz val="12"/>
      <color theme="1"/>
      <name val="Calibri"/>
      <family val="2"/>
      <scheme val="minor"/>
    </font>
    <font>
      <sz val="11"/>
      <color theme="1"/>
      <name val="Calibri"/>
      <family val="2"/>
    </font>
    <font>
      <b/>
      <sz val="12"/>
      <color theme="0"/>
      <name val="Calibri"/>
      <family val="2"/>
      <scheme val="minor"/>
    </font>
    <font>
      <u/>
      <sz val="11"/>
      <color theme="10"/>
      <name val="Calibri"/>
      <family val="2"/>
      <scheme val="minor"/>
    </font>
    <font>
      <b/>
      <sz val="14"/>
      <color theme="0"/>
      <name val="Calibri Light"/>
      <family val="2"/>
    </font>
    <font>
      <b/>
      <sz val="14"/>
      <color theme="0"/>
      <name val="Calibri Light"/>
      <family val="1"/>
      <scheme val="major"/>
    </font>
    <font>
      <b/>
      <i/>
      <sz val="14"/>
      <color theme="0"/>
      <name val="Calibri Light"/>
      <family val="2"/>
    </font>
    <font>
      <b/>
      <i/>
      <sz val="14"/>
      <color theme="0"/>
      <name val="Calibri"/>
      <family val="2"/>
      <scheme val="minor"/>
    </font>
    <font>
      <i/>
      <sz val="12"/>
      <color rgb="FFB42C33"/>
      <name val="Calibri"/>
      <family val="2"/>
      <scheme val="minor"/>
    </font>
    <font>
      <i/>
      <sz val="10"/>
      <color theme="0" tint="-0.499984740745262"/>
      <name val="Calibri"/>
      <family val="2"/>
      <scheme val="minor"/>
    </font>
    <font>
      <sz val="9"/>
      <name val="Calibri"/>
      <family val="2"/>
      <scheme val="minor"/>
    </font>
    <font>
      <i/>
      <sz val="9"/>
      <color theme="0" tint="-0.499984740745262"/>
      <name val="Calibri"/>
      <family val="2"/>
      <scheme val="minor"/>
    </font>
    <font>
      <sz val="9"/>
      <color theme="1"/>
      <name val="Calibri"/>
      <family val="2"/>
      <scheme val="minor"/>
    </font>
    <font>
      <sz val="10"/>
      <name val="Calibri"/>
      <family val="2"/>
      <scheme val="minor"/>
    </font>
    <font>
      <i/>
      <sz val="9"/>
      <name val="Calibri"/>
      <family val="2"/>
      <scheme val="minor"/>
    </font>
    <font>
      <i/>
      <sz val="11"/>
      <color theme="1" tint="0.34998626667073579"/>
      <name val="Calibri"/>
      <family val="2"/>
      <scheme val="minor"/>
    </font>
    <font>
      <b/>
      <sz val="11"/>
      <color theme="0"/>
      <name val="Calibri"/>
      <family val="2"/>
      <scheme val="minor"/>
    </font>
    <font>
      <sz val="11"/>
      <color theme="0"/>
      <name val="Calibri"/>
      <family val="2"/>
      <scheme val="minor"/>
    </font>
    <font>
      <i/>
      <sz val="11"/>
      <color theme="1" tint="0.499984740745262"/>
      <name val="Calibri"/>
      <family val="2"/>
      <scheme val="minor"/>
    </font>
    <font>
      <i/>
      <sz val="11"/>
      <color theme="0" tint="-0.499984740745262"/>
      <name val="Calibri"/>
      <family val="2"/>
      <scheme val="minor"/>
    </font>
    <font>
      <sz val="11"/>
      <color rgb="FFB80000"/>
      <name val="Calibri"/>
      <family val="2"/>
      <scheme val="minor"/>
    </font>
    <font>
      <b/>
      <sz val="14"/>
      <color theme="0"/>
      <name val="Calibri"/>
      <family val="2"/>
      <scheme val="minor"/>
    </font>
    <font>
      <sz val="14"/>
      <color theme="0"/>
      <name val="Calibri"/>
      <family val="2"/>
      <scheme val="minor"/>
    </font>
    <font>
      <b/>
      <sz val="11"/>
      <color theme="6" tint="-0.499984740745262"/>
      <name val="Calibri"/>
      <family val="2"/>
      <scheme val="minor"/>
    </font>
    <font>
      <b/>
      <i/>
      <sz val="10"/>
      <color theme="6" tint="-0.499984740745262"/>
      <name val="Calibri"/>
      <family val="2"/>
      <scheme val="minor"/>
    </font>
    <font>
      <b/>
      <i/>
      <sz val="9"/>
      <color theme="6" tint="-0.499984740745262"/>
      <name val="Calibri"/>
      <family val="2"/>
      <scheme val="minor"/>
    </font>
    <font>
      <sz val="11"/>
      <color theme="1" tint="0.34998626667073579"/>
      <name val="Calibri"/>
      <family val="2"/>
      <scheme val="minor"/>
    </font>
    <font>
      <b/>
      <sz val="11"/>
      <color theme="1" tint="0.34998626667073579"/>
      <name val="Calibri"/>
      <family val="2"/>
      <scheme val="minor"/>
    </font>
    <font>
      <sz val="9"/>
      <color theme="1" tint="0.34998626667073579"/>
      <name val="Calibri"/>
      <family val="2"/>
      <scheme val="minor"/>
    </font>
    <font>
      <i/>
      <sz val="9"/>
      <color theme="1" tint="0.34998626667073579"/>
      <name val="Calibri"/>
      <family val="2"/>
      <scheme val="minor"/>
    </font>
    <font>
      <b/>
      <i/>
      <sz val="12"/>
      <name val="Calibri"/>
      <family val="2"/>
      <scheme val="minor"/>
    </font>
    <font>
      <b/>
      <sz val="12"/>
      <color theme="0"/>
      <name val="Calibri Light"/>
      <family val="2"/>
    </font>
    <font>
      <b/>
      <i/>
      <sz val="12"/>
      <color rgb="FFC00000"/>
      <name val="Calibri"/>
      <family val="2"/>
      <scheme val="minor"/>
    </font>
    <font>
      <b/>
      <sz val="11"/>
      <color rgb="FFC00000"/>
      <name val="Calibri"/>
      <family val="2"/>
      <scheme val="minor"/>
    </font>
    <font>
      <b/>
      <i/>
      <sz val="11"/>
      <color rgb="FFC00000"/>
      <name val="Calibri"/>
      <family val="2"/>
      <scheme val="minor"/>
    </font>
    <font>
      <b/>
      <i/>
      <sz val="11"/>
      <name val="Calibri"/>
      <family val="2"/>
      <scheme val="minor"/>
    </font>
    <font>
      <sz val="12"/>
      <color theme="0"/>
      <name val="Calibri"/>
      <family val="2"/>
      <scheme val="minor"/>
    </font>
    <font>
      <i/>
      <sz val="14"/>
      <color theme="0"/>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rgb="FF1D2172"/>
        <bgColor indexed="64"/>
      </patternFill>
    </fill>
    <fill>
      <patternFill patternType="solid">
        <fgColor rgb="FFB42C33"/>
        <bgColor indexed="64"/>
      </patternFill>
    </fill>
    <fill>
      <patternFill patternType="solid">
        <fgColor theme="6" tint="0.79998168889431442"/>
        <bgColor indexed="64"/>
      </patternFill>
    </fill>
    <fill>
      <patternFill patternType="solid">
        <fgColor rgb="FF013F6D"/>
        <bgColor indexed="64"/>
      </patternFill>
    </fill>
    <fill>
      <patternFill patternType="solid">
        <fgColor theme="6" tint="0.59999389629810485"/>
        <bgColor indexed="64"/>
      </patternFill>
    </fill>
    <fill>
      <patternFill patternType="solid">
        <fgColor theme="3"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auto="1"/>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right/>
      <top style="double">
        <color auto="1"/>
      </top>
      <bottom style="double">
        <color auto="1"/>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bottom style="medium">
        <color auto="1"/>
      </bottom>
      <diagonal/>
    </border>
    <border>
      <left style="thin">
        <color auto="1"/>
      </left>
      <right/>
      <top/>
      <bottom style="medium">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auto="1"/>
      </top>
      <bottom style="double">
        <color auto="1"/>
      </bottom>
      <diagonal/>
    </border>
    <border>
      <left style="thin">
        <color indexed="64"/>
      </left>
      <right style="thin">
        <color indexed="64"/>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cellStyleXfs>
  <cellXfs count="455">
    <xf numFmtId="0" fontId="0" fillId="0" borderId="0" xfId="0"/>
    <xf numFmtId="0" fontId="3" fillId="0" borderId="0" xfId="0" applyFont="1"/>
    <xf numFmtId="0" fontId="0" fillId="2" borderId="0" xfId="0" applyFill="1"/>
    <xf numFmtId="0" fontId="0" fillId="6" borderId="0" xfId="0" applyFill="1"/>
    <xf numFmtId="0" fontId="9" fillId="4" borderId="0" xfId="0" applyFont="1" applyFill="1" applyAlignment="1">
      <alignment horizontal="center"/>
    </xf>
    <xf numFmtId="0" fontId="3" fillId="4" borderId="0" xfId="0" applyFont="1" applyFill="1" applyAlignment="1">
      <alignment horizontal="center"/>
    </xf>
    <xf numFmtId="0" fontId="12" fillId="6" borderId="0" xfId="0" applyFont="1" applyFill="1"/>
    <xf numFmtId="0" fontId="12" fillId="2" borderId="0" xfId="0" applyFont="1" applyFill="1"/>
    <xf numFmtId="0" fontId="0" fillId="0" borderId="0" xfId="0" applyAlignment="1">
      <alignment horizontal="left" indent="1"/>
    </xf>
    <xf numFmtId="0" fontId="3" fillId="0" borderId="0" xfId="0" applyFont="1" applyAlignment="1">
      <alignment horizontal="left" indent="1"/>
    </xf>
    <xf numFmtId="0" fontId="3" fillId="0" borderId="0" xfId="0" applyFont="1" applyAlignment="1">
      <alignment horizontal="left"/>
    </xf>
    <xf numFmtId="0" fontId="13" fillId="0" borderId="0" xfId="0" applyFont="1"/>
    <xf numFmtId="165" fontId="0" fillId="0" borderId="0" xfId="0" applyNumberFormat="1"/>
    <xf numFmtId="2" fontId="0" fillId="0" borderId="0" xfId="0" applyNumberFormat="1"/>
    <xf numFmtId="164" fontId="0" fillId="0" borderId="0" xfId="0" applyNumberFormat="1"/>
    <xf numFmtId="164" fontId="3" fillId="0" borderId="0" xfId="0" applyNumberFormat="1" applyFont="1"/>
    <xf numFmtId="0" fontId="3" fillId="0" borderId="0" xfId="0" applyFont="1" applyAlignment="1">
      <alignment horizontal="left" wrapText="1" indent="3"/>
    </xf>
    <xf numFmtId="0" fontId="13" fillId="0" borderId="0" xfId="0" applyFont="1" applyAlignment="1">
      <alignment horizontal="left"/>
    </xf>
    <xf numFmtId="0" fontId="6" fillId="3" borderId="0" xfId="0" applyFont="1" applyFill="1"/>
    <xf numFmtId="0" fontId="12" fillId="0" borderId="0" xfId="0" applyFont="1" applyAlignment="1">
      <alignment horizontal="left" indent="1"/>
    </xf>
    <xf numFmtId="0" fontId="12" fillId="0" borderId="0" xfId="0" applyFont="1"/>
    <xf numFmtId="0" fontId="5" fillId="0" borderId="0" xfId="0" applyFont="1"/>
    <xf numFmtId="164" fontId="2" fillId="0" borderId="0" xfId="0" applyNumberFormat="1" applyFont="1"/>
    <xf numFmtId="0" fontId="12" fillId="0" borderId="0" xfId="0" applyFont="1" applyAlignment="1">
      <alignment horizontal="left"/>
    </xf>
    <xf numFmtId="165" fontId="0" fillId="7" borderId="1" xfId="3" applyNumberFormat="1" applyFont="1" applyFill="1" applyBorder="1" applyAlignment="1" applyProtection="1">
      <alignment horizontal="center" vertical="center"/>
      <protection locked="0"/>
    </xf>
    <xf numFmtId="166" fontId="0" fillId="7" borderId="1" xfId="3" applyNumberFormat="1" applyFont="1" applyFill="1" applyBorder="1" applyAlignment="1" applyProtection="1">
      <alignment horizontal="center" vertical="center"/>
      <protection locked="0"/>
    </xf>
    <xf numFmtId="0" fontId="12" fillId="0" borderId="0" xfId="0" applyFont="1" applyAlignment="1">
      <alignment vertical="top" wrapText="1"/>
    </xf>
    <xf numFmtId="49" fontId="0" fillId="0" borderId="0" xfId="0" applyNumberFormat="1"/>
    <xf numFmtId="49" fontId="3" fillId="0" borderId="0" xfId="0" applyNumberFormat="1" applyFont="1"/>
    <xf numFmtId="0" fontId="6" fillId="2" borderId="0" xfId="0" applyFont="1" applyFill="1" applyAlignment="1">
      <alignment horizontal="left"/>
    </xf>
    <xf numFmtId="0" fontId="0" fillId="2" borderId="0" xfId="0" applyFill="1" applyAlignment="1">
      <alignment vertical="top"/>
    </xf>
    <xf numFmtId="0" fontId="26" fillId="10" borderId="0" xfId="0" applyFont="1" applyFill="1"/>
    <xf numFmtId="0" fontId="27" fillId="10" borderId="0" xfId="0" applyFont="1" applyFill="1"/>
    <xf numFmtId="0" fontId="28" fillId="11" borderId="0" xfId="0" applyFont="1" applyFill="1"/>
    <xf numFmtId="0" fontId="29" fillId="11" borderId="0" xfId="0" applyFont="1" applyFill="1"/>
    <xf numFmtId="0" fontId="0" fillId="0" borderId="8" xfId="0" applyBorder="1"/>
    <xf numFmtId="0" fontId="0" fillId="0" borderId="7" xfId="0" applyBorder="1"/>
    <xf numFmtId="0" fontId="0" fillId="0" borderId="9" xfId="0" applyBorder="1"/>
    <xf numFmtId="0" fontId="0" fillId="0" borderId="2" xfId="0" applyBorder="1"/>
    <xf numFmtId="0" fontId="0" fillId="0" borderId="10" xfId="0" applyBorder="1" applyAlignment="1">
      <alignment horizontal="left" indent="2"/>
    </xf>
    <xf numFmtId="0" fontId="0" fillId="0" borderId="0" xfId="0" applyAlignment="1">
      <alignment horizontal="left" indent="2"/>
    </xf>
    <xf numFmtId="0" fontId="0" fillId="0" borderId="11" xfId="0" applyBorder="1"/>
    <xf numFmtId="0" fontId="0" fillId="0" borderId="6" xfId="0" applyBorder="1"/>
    <xf numFmtId="0" fontId="0" fillId="0" borderId="12" xfId="0" applyBorder="1"/>
    <xf numFmtId="0" fontId="0" fillId="6" borderId="0" xfId="0" applyFill="1" applyAlignment="1">
      <alignment horizontal="left"/>
    </xf>
    <xf numFmtId="0" fontId="6" fillId="6" borderId="0" xfId="0" applyFont="1" applyFill="1" applyAlignment="1">
      <alignment horizontal="left"/>
    </xf>
    <xf numFmtId="0" fontId="0" fillId="6" borderId="0" xfId="0" applyFill="1" applyAlignment="1">
      <alignment vertical="top"/>
    </xf>
    <xf numFmtId="0" fontId="0" fillId="6" borderId="10" xfId="0" applyFill="1" applyBorder="1" applyAlignment="1">
      <alignment vertical="top" wrapText="1"/>
    </xf>
    <xf numFmtId="0" fontId="0" fillId="6" borderId="0" xfId="0" applyFill="1" applyAlignment="1">
      <alignment vertical="top" wrapText="1"/>
    </xf>
    <xf numFmtId="0" fontId="0" fillId="6" borderId="2" xfId="0" applyFill="1" applyBorder="1" applyAlignment="1">
      <alignment vertical="top" wrapText="1"/>
    </xf>
    <xf numFmtId="0" fontId="3" fillId="6" borderId="10" xfId="0" applyFont="1" applyFill="1" applyBorder="1" applyAlignment="1">
      <alignment vertical="top"/>
    </xf>
    <xf numFmtId="0" fontId="0" fillId="6" borderId="2" xfId="0" applyFill="1" applyBorder="1" applyAlignment="1">
      <alignment vertical="top"/>
    </xf>
    <xf numFmtId="0" fontId="0" fillId="6" borderId="0" xfId="0" applyFill="1" applyAlignment="1">
      <alignment horizontal="left" vertical="top"/>
    </xf>
    <xf numFmtId="0" fontId="13" fillId="2" borderId="0" xfId="0" applyFont="1" applyFill="1"/>
    <xf numFmtId="0" fontId="27" fillId="10" borderId="0" xfId="5" applyFont="1" applyFill="1"/>
    <xf numFmtId="0" fontId="7" fillId="12" borderId="0" xfId="5" applyFont="1" applyFill="1"/>
    <xf numFmtId="0" fontId="29" fillId="11" borderId="0" xfId="5" applyFont="1" applyFill="1"/>
    <xf numFmtId="0" fontId="30" fillId="0" borderId="0" xfId="5" applyFont="1"/>
    <xf numFmtId="0" fontId="7" fillId="0" borderId="0" xfId="5" applyFont="1"/>
    <xf numFmtId="0" fontId="10" fillId="0" borderId="0" xfId="5" applyFont="1"/>
    <xf numFmtId="0" fontId="5" fillId="0" borderId="0" xfId="5"/>
    <xf numFmtId="0" fontId="31" fillId="0" borderId="0" xfId="5" applyFont="1" applyAlignment="1">
      <alignment horizontal="center" wrapText="1"/>
    </xf>
    <xf numFmtId="0" fontId="10" fillId="0" borderId="0" xfId="5" applyFont="1" applyAlignment="1">
      <alignment horizontal="center"/>
    </xf>
    <xf numFmtId="0" fontId="10" fillId="0" borderId="6" xfId="5" applyFont="1" applyBorder="1" applyAlignment="1">
      <alignment horizontal="center"/>
    </xf>
    <xf numFmtId="0" fontId="9" fillId="0" borderId="0" xfId="5" applyFont="1" applyAlignment="1">
      <alignment horizontal="left"/>
    </xf>
    <xf numFmtId="0" fontId="12" fillId="7" borderId="1" xfId="5" applyFont="1" applyFill="1" applyBorder="1" applyAlignment="1" applyProtection="1">
      <alignment horizontal="center"/>
      <protection locked="0"/>
    </xf>
    <xf numFmtId="0" fontId="31" fillId="0" borderId="0" xfId="5" applyFont="1" applyAlignment="1" applyProtection="1">
      <alignment horizontal="left" indent="1"/>
      <protection locked="0"/>
    </xf>
    <xf numFmtId="0" fontId="9" fillId="0" borderId="0" xfId="5" applyFont="1" applyAlignment="1">
      <alignment horizontal="left" indent="4"/>
    </xf>
    <xf numFmtId="0" fontId="32" fillId="6" borderId="0" xfId="5" applyFont="1" applyFill="1"/>
    <xf numFmtId="169" fontId="33" fillId="0" borderId="0" xfId="6" applyNumberFormat="1" applyFont="1" applyFill="1" applyBorder="1"/>
    <xf numFmtId="9" fontId="33" fillId="0" borderId="0" xfId="7" applyFont="1" applyFill="1" applyBorder="1" applyAlignment="1">
      <alignment vertical="top"/>
    </xf>
    <xf numFmtId="0" fontId="34" fillId="0" borderId="0" xfId="5" applyFont="1"/>
    <xf numFmtId="0" fontId="32" fillId="0" borderId="0" xfId="5" applyFont="1"/>
    <xf numFmtId="0" fontId="32" fillId="12" borderId="0" xfId="5" applyFont="1" applyFill="1"/>
    <xf numFmtId="0" fontId="12" fillId="0" borderId="0" xfId="5" applyFont="1"/>
    <xf numFmtId="9" fontId="12" fillId="7" borderId="1" xfId="7" applyFont="1" applyFill="1" applyBorder="1" applyAlignment="1" applyProtection="1">
      <alignment horizontal="center"/>
      <protection locked="0"/>
    </xf>
    <xf numFmtId="9" fontId="12" fillId="12" borderId="1" xfId="7" applyFont="1" applyFill="1" applyBorder="1" applyAlignment="1" applyProtection="1">
      <alignment horizontal="center"/>
      <protection locked="0"/>
    </xf>
    <xf numFmtId="0" fontId="1" fillId="0" borderId="0" xfId="5" applyFont="1"/>
    <xf numFmtId="0" fontId="2" fillId="0" borderId="0" xfId="5" applyFont="1"/>
    <xf numFmtId="0" fontId="12" fillId="12" borderId="0" xfId="5" applyFont="1" applyFill="1"/>
    <xf numFmtId="169" fontId="31" fillId="0" borderId="0" xfId="5" applyNumberFormat="1" applyFont="1" applyAlignment="1">
      <alignment horizontal="right" indent="1"/>
    </xf>
    <xf numFmtId="0" fontId="31" fillId="0" borderId="0" xfId="5" applyFont="1"/>
    <xf numFmtId="9" fontId="12" fillId="2" borderId="1" xfId="7" applyFont="1" applyFill="1" applyBorder="1" applyAlignment="1" applyProtection="1">
      <alignment horizontal="center"/>
      <protection locked="0"/>
    </xf>
    <xf numFmtId="0" fontId="12" fillId="0" borderId="0" xfId="5" applyFont="1" applyAlignment="1">
      <alignment horizontal="left"/>
    </xf>
    <xf numFmtId="0" fontId="5" fillId="12" borderId="0" xfId="5" applyFill="1"/>
    <xf numFmtId="0" fontId="31" fillId="0" borderId="0" xfId="0" applyFont="1" applyAlignment="1" applyProtection="1">
      <alignment horizontal="left" indent="1"/>
      <protection locked="0"/>
    </xf>
    <xf numFmtId="0" fontId="30" fillId="6" borderId="0" xfId="5" applyFont="1" applyFill="1"/>
    <xf numFmtId="0" fontId="3" fillId="6" borderId="0" xfId="0" applyFont="1" applyFill="1"/>
    <xf numFmtId="0" fontId="9" fillId="6" borderId="0" xfId="0" applyFont="1" applyFill="1" applyAlignment="1">
      <alignment horizontal="center"/>
    </xf>
    <xf numFmtId="0" fontId="9" fillId="6" borderId="0" xfId="0" applyFont="1" applyFill="1" applyAlignment="1">
      <alignment horizontal="center" wrapText="1"/>
    </xf>
    <xf numFmtId="0" fontId="3" fillId="6" borderId="0" xfId="0" applyFont="1" applyFill="1" applyAlignment="1">
      <alignment horizontal="center"/>
    </xf>
    <xf numFmtId="1" fontId="3" fillId="6" borderId="0" xfId="2" applyNumberFormat="1" applyFont="1" applyFill="1" applyAlignment="1">
      <alignment horizontal="center"/>
    </xf>
    <xf numFmtId="0" fontId="0" fillId="6" borderId="0" xfId="0" applyFill="1" applyAlignment="1">
      <alignment horizontal="center"/>
    </xf>
    <xf numFmtId="0" fontId="3" fillId="6" borderId="0" xfId="0" applyFont="1" applyFill="1" applyAlignment="1">
      <alignment horizontal="left" indent="1"/>
    </xf>
    <xf numFmtId="0" fontId="0" fillId="6" borderId="0" xfId="0" applyFill="1" applyAlignment="1">
      <alignment horizontal="left" indent="2"/>
    </xf>
    <xf numFmtId="164" fontId="9" fillId="6" borderId="0" xfId="0" applyNumberFormat="1" applyFont="1" applyFill="1" applyAlignment="1">
      <alignment horizontal="center"/>
    </xf>
    <xf numFmtId="0" fontId="9" fillId="6" borderId="0" xfId="0" applyFont="1" applyFill="1"/>
    <xf numFmtId="164" fontId="3" fillId="6" borderId="5" xfId="2" applyNumberFormat="1" applyFont="1" applyFill="1" applyBorder="1"/>
    <xf numFmtId="0" fontId="12" fillId="6" borderId="0" xfId="0" applyFont="1" applyFill="1" applyAlignment="1">
      <alignment horizontal="left" indent="2"/>
    </xf>
    <xf numFmtId="0" fontId="0" fillId="6" borderId="10" xfId="0" applyFill="1" applyBorder="1" applyAlignment="1" applyProtection="1">
      <alignment vertical="top" wrapText="1"/>
      <protection locked="0"/>
    </xf>
    <xf numFmtId="165" fontId="12" fillId="6" borderId="0" xfId="0" applyNumberFormat="1" applyFont="1" applyFill="1" applyAlignment="1">
      <alignment horizontal="left" indent="2"/>
    </xf>
    <xf numFmtId="0" fontId="12" fillId="6" borderId="16" xfId="0" applyFont="1" applyFill="1" applyBorder="1" applyAlignment="1">
      <alignment horizontal="left" indent="2"/>
    </xf>
    <xf numFmtId="0" fontId="0" fillId="6" borderId="16" xfId="0" applyFill="1" applyBorder="1"/>
    <xf numFmtId="0" fontId="0" fillId="6" borderId="0" xfId="0" applyFill="1" applyAlignment="1" applyProtection="1">
      <alignment vertical="top" wrapText="1"/>
      <protection locked="0"/>
    </xf>
    <xf numFmtId="0" fontId="12" fillId="6" borderId="0" xfId="0" applyFont="1" applyFill="1" applyAlignment="1">
      <alignment horizontal="left" indent="3"/>
    </xf>
    <xf numFmtId="0" fontId="12" fillId="6" borderId="17" xfId="0" applyFont="1" applyFill="1" applyBorder="1" applyAlignment="1">
      <alignment horizontal="left" indent="3"/>
    </xf>
    <xf numFmtId="0" fontId="0" fillId="6" borderId="17" xfId="0" applyFill="1" applyBorder="1"/>
    <xf numFmtId="0" fontId="9" fillId="6" borderId="0" xfId="0" applyFont="1" applyFill="1" applyAlignment="1">
      <alignment horizontal="left" indent="1"/>
    </xf>
    <xf numFmtId="0" fontId="36" fillId="0" borderId="0" xfId="0" applyFont="1" applyAlignment="1">
      <alignment horizontal="left"/>
    </xf>
    <xf numFmtId="166" fontId="0" fillId="2" borderId="0" xfId="3" applyNumberFormat="1" applyFont="1" applyFill="1"/>
    <xf numFmtId="165" fontId="12" fillId="2" borderId="13" xfId="2" applyNumberFormat="1" applyFont="1" applyFill="1" applyBorder="1" applyAlignment="1" applyProtection="1">
      <alignment horizontal="right"/>
    </xf>
    <xf numFmtId="165" fontId="12" fillId="2" borderId="1" xfId="2" applyNumberFormat="1" applyFont="1" applyFill="1" applyBorder="1" applyAlignment="1" applyProtection="1">
      <alignment horizontal="right"/>
    </xf>
    <xf numFmtId="9" fontId="4" fillId="2" borderId="0" xfId="3" applyFont="1" applyFill="1" applyAlignment="1">
      <alignment horizontal="left"/>
    </xf>
    <xf numFmtId="165" fontId="12" fillId="7" borderId="1" xfId="1" applyNumberFormat="1" applyFont="1" applyFill="1" applyBorder="1" applyProtection="1">
      <protection locked="0"/>
    </xf>
    <xf numFmtId="0" fontId="12" fillId="7" borderId="3" xfId="3" applyNumberFormat="1" applyFont="1" applyFill="1" applyBorder="1" applyAlignment="1" applyProtection="1">
      <alignment horizontal="center"/>
      <protection locked="0"/>
    </xf>
    <xf numFmtId="166" fontId="12" fillId="7" borderId="13" xfId="3" applyNumberFormat="1" applyFont="1" applyFill="1" applyBorder="1" applyAlignment="1" applyProtection="1">
      <alignment horizontal="center"/>
      <protection locked="0"/>
    </xf>
    <xf numFmtId="166" fontId="12" fillId="7" borderId="1" xfId="3" applyNumberFormat="1" applyFont="1" applyFill="1" applyBorder="1" applyAlignment="1" applyProtection="1">
      <alignment horizontal="center"/>
      <protection locked="0"/>
    </xf>
    <xf numFmtId="166" fontId="12" fillId="7" borderId="14" xfId="3" applyNumberFormat="1" applyFont="1" applyFill="1" applyBorder="1" applyAlignment="1" applyProtection="1">
      <alignment horizontal="center"/>
      <protection locked="0"/>
    </xf>
    <xf numFmtId="165" fontId="14" fillId="9" borderId="1" xfId="1" applyNumberFormat="1" applyFont="1" applyFill="1" applyBorder="1" applyProtection="1"/>
    <xf numFmtId="0" fontId="14" fillId="9" borderId="3" xfId="3" applyNumberFormat="1" applyFont="1" applyFill="1" applyBorder="1" applyAlignment="1" applyProtection="1">
      <alignment horizontal="center"/>
    </xf>
    <xf numFmtId="166" fontId="14" fillId="9" borderId="13" xfId="3" applyNumberFormat="1" applyFont="1" applyFill="1" applyBorder="1" applyAlignment="1" applyProtection="1">
      <alignment horizontal="center"/>
    </xf>
    <xf numFmtId="166" fontId="14" fillId="9" borderId="1" xfId="3" applyNumberFormat="1" applyFont="1" applyFill="1" applyBorder="1" applyAlignment="1" applyProtection="1">
      <alignment horizontal="center"/>
    </xf>
    <xf numFmtId="166" fontId="14" fillId="9" borderId="14" xfId="3" applyNumberFormat="1" applyFont="1" applyFill="1" applyBorder="1" applyAlignment="1" applyProtection="1">
      <alignment horizontal="center"/>
    </xf>
    <xf numFmtId="165" fontId="14" fillId="9" borderId="13" xfId="2" applyNumberFormat="1" applyFont="1" applyFill="1" applyBorder="1" applyAlignment="1" applyProtection="1">
      <alignment horizontal="right"/>
    </xf>
    <xf numFmtId="165" fontId="14" fillId="9" borderId="1" xfId="2" applyNumberFormat="1" applyFont="1" applyFill="1" applyBorder="1" applyAlignment="1" applyProtection="1">
      <alignment horizontal="right"/>
    </xf>
    <xf numFmtId="0" fontId="12" fillId="6" borderId="1" xfId="0" applyFont="1" applyFill="1" applyBorder="1" applyAlignment="1">
      <alignment horizontal="center"/>
    </xf>
    <xf numFmtId="164" fontId="12" fillId="9" borderId="1" xfId="0" applyNumberFormat="1" applyFont="1" applyFill="1" applyBorder="1" applyAlignment="1">
      <alignment horizontal="center"/>
    </xf>
    <xf numFmtId="164" fontId="0" fillId="7" borderId="1" xfId="2" applyNumberFormat="1" applyFont="1" applyFill="1" applyBorder="1" applyProtection="1">
      <protection locked="0"/>
    </xf>
    <xf numFmtId="164" fontId="0" fillId="2" borderId="1" xfId="2" applyNumberFormat="1" applyFont="1" applyFill="1" applyBorder="1" applyProtection="1">
      <protection locked="0"/>
    </xf>
    <xf numFmtId="164" fontId="0" fillId="6" borderId="5" xfId="2" applyNumberFormat="1" applyFont="1" applyFill="1" applyBorder="1" applyProtection="1">
      <protection locked="0"/>
    </xf>
    <xf numFmtId="164" fontId="12" fillId="6" borderId="0" xfId="0" applyNumberFormat="1" applyFont="1" applyFill="1"/>
    <xf numFmtId="164" fontId="0" fillId="6" borderId="0" xfId="0" applyNumberFormat="1" applyFill="1"/>
    <xf numFmtId="0" fontId="13" fillId="6" borderId="0" xfId="0" applyFont="1" applyFill="1"/>
    <xf numFmtId="0" fontId="17" fillId="6" borderId="0" xfId="0" applyFont="1" applyFill="1"/>
    <xf numFmtId="167" fontId="0" fillId="6" borderId="0" xfId="0" applyNumberFormat="1" applyFill="1"/>
    <xf numFmtId="0" fontId="31" fillId="6" borderId="0" xfId="0" applyFont="1" applyFill="1" applyAlignment="1" applyProtection="1">
      <alignment horizontal="left" indent="1"/>
      <protection locked="0"/>
    </xf>
    <xf numFmtId="0" fontId="0" fillId="6" borderId="0" xfId="0" applyFill="1" applyAlignment="1" applyProtection="1">
      <alignment vertical="top"/>
      <protection locked="0"/>
    </xf>
    <xf numFmtId="0" fontId="37" fillId="6" borderId="0" xfId="0" applyFont="1" applyFill="1"/>
    <xf numFmtId="167" fontId="0" fillId="2" borderId="1" xfId="3" applyNumberFormat="1" applyFont="1" applyFill="1" applyBorder="1" applyAlignment="1" applyProtection="1">
      <alignment horizontal="center" vertical="center"/>
      <protection locked="0"/>
    </xf>
    <xf numFmtId="1" fontId="3" fillId="6" borderId="0" xfId="2" applyNumberFormat="1" applyFont="1" applyFill="1" applyBorder="1" applyAlignment="1">
      <alignment horizontal="center"/>
    </xf>
    <xf numFmtId="0" fontId="6" fillId="6" borderId="0" xfId="0" applyFont="1" applyFill="1"/>
    <xf numFmtId="0" fontId="0" fillId="6" borderId="0" xfId="0" applyFill="1" applyProtection="1">
      <protection locked="0"/>
    </xf>
    <xf numFmtId="0" fontId="0" fillId="6" borderId="0" xfId="0" applyFill="1" applyAlignment="1">
      <alignment vertical="center"/>
    </xf>
    <xf numFmtId="3" fontId="0" fillId="6" borderId="1" xfId="3" applyNumberFormat="1" applyFont="1" applyFill="1" applyBorder="1" applyAlignment="1" applyProtection="1">
      <alignment horizontal="center" vertical="center"/>
      <protection locked="0"/>
    </xf>
    <xf numFmtId="3" fontId="0" fillId="6" borderId="0" xfId="3" applyNumberFormat="1" applyFont="1" applyFill="1" applyBorder="1" applyAlignment="1" applyProtection="1">
      <alignment horizontal="center" vertical="center"/>
      <protection locked="0"/>
    </xf>
    <xf numFmtId="0" fontId="0" fillId="6" borderId="0" xfId="0" applyFill="1" applyAlignment="1">
      <alignment horizontal="left" vertical="center" indent="2"/>
    </xf>
    <xf numFmtId="167" fontId="0" fillId="6" borderId="10" xfId="3" applyNumberFormat="1" applyFont="1" applyFill="1" applyBorder="1" applyAlignment="1" applyProtection="1">
      <alignment horizontal="center" vertical="center"/>
      <protection locked="0"/>
    </xf>
    <xf numFmtId="0" fontId="1" fillId="6" borderId="0" xfId="0" applyFont="1" applyFill="1" applyAlignment="1">
      <alignment horizontal="left" indent="2"/>
    </xf>
    <xf numFmtId="3" fontId="0" fillId="6" borderId="0" xfId="0" applyNumberFormat="1" applyFill="1"/>
    <xf numFmtId="0" fontId="0" fillId="6" borderId="0" xfId="0" applyFill="1" applyAlignment="1">
      <alignment horizontal="left" vertical="center" indent="1"/>
    </xf>
    <xf numFmtId="3" fontId="0" fillId="7" borderId="1" xfId="3" applyNumberFormat="1" applyFont="1" applyFill="1" applyBorder="1" applyAlignment="1" applyProtection="1">
      <alignment horizontal="center" vertical="center"/>
      <protection locked="0"/>
    </xf>
    <xf numFmtId="9" fontId="0" fillId="7" borderId="1" xfId="3" applyFont="1" applyFill="1" applyBorder="1" applyAlignment="1" applyProtection="1">
      <alignment horizontal="center" vertical="center"/>
      <protection locked="0"/>
    </xf>
    <xf numFmtId="9" fontId="0" fillId="2" borderId="1" xfId="3" applyFont="1" applyFill="1" applyBorder="1" applyAlignment="1" applyProtection="1">
      <alignment horizontal="center" vertical="center"/>
      <protection locked="0"/>
    </xf>
    <xf numFmtId="165" fontId="0" fillId="6" borderId="0" xfId="3" applyNumberFormat="1" applyFont="1" applyFill="1" applyBorder="1" applyAlignment="1" applyProtection="1">
      <alignment horizontal="center" vertical="center"/>
      <protection locked="0"/>
    </xf>
    <xf numFmtId="167" fontId="0" fillId="7" borderId="1" xfId="3" applyNumberFormat="1" applyFont="1" applyFill="1" applyBorder="1" applyAlignment="1" applyProtection="1">
      <alignment horizontal="center" vertical="center"/>
      <protection locked="0"/>
    </xf>
    <xf numFmtId="0" fontId="2" fillId="0" borderId="0" xfId="5" applyFont="1" applyAlignment="1">
      <alignment horizontal="left" indent="4"/>
    </xf>
    <xf numFmtId="0" fontId="13" fillId="2" borderId="0" xfId="0" applyFont="1" applyFill="1" applyAlignment="1">
      <alignment horizontal="center"/>
    </xf>
    <xf numFmtId="0" fontId="3" fillId="2" borderId="0" xfId="0" applyFont="1" applyFill="1" applyAlignment="1">
      <alignment horizontal="center"/>
    </xf>
    <xf numFmtId="166" fontId="0" fillId="2" borderId="0" xfId="3" applyNumberFormat="1" applyFont="1" applyFill="1" applyAlignment="1">
      <alignment horizontal="center" vertical="center"/>
    </xf>
    <xf numFmtId="0" fontId="0" fillId="2" borderId="0" xfId="0" applyFill="1" applyAlignment="1">
      <alignment horizontal="center"/>
    </xf>
    <xf numFmtId="0" fontId="21" fillId="2" borderId="0" xfId="0" applyFont="1" applyFill="1" applyAlignment="1">
      <alignment horizontal="center" wrapText="1"/>
    </xf>
    <xf numFmtId="0" fontId="20" fillId="2" borderId="0" xfId="0" applyFont="1" applyFill="1" applyAlignment="1">
      <alignment horizontal="center" wrapText="1"/>
    </xf>
    <xf numFmtId="0" fontId="19" fillId="6" borderId="0" xfId="0" applyFont="1" applyFill="1"/>
    <xf numFmtId="0" fontId="16" fillId="6" borderId="0" xfId="0" applyFont="1" applyFill="1"/>
    <xf numFmtId="168" fontId="0" fillId="7" borderId="1" xfId="0" applyNumberFormat="1" applyFill="1" applyBorder="1" applyAlignment="1" applyProtection="1">
      <alignment horizontal="center"/>
      <protection locked="0"/>
    </xf>
    <xf numFmtId="166" fontId="0" fillId="6" borderId="0" xfId="3" applyNumberFormat="1" applyFont="1" applyFill="1" applyBorder="1" applyAlignment="1" applyProtection="1">
      <alignment horizontal="center" vertical="center"/>
      <protection locked="0"/>
    </xf>
    <xf numFmtId="167" fontId="0" fillId="5" borderId="1" xfId="3" applyNumberFormat="1" applyFont="1" applyFill="1" applyBorder="1" applyAlignment="1" applyProtection="1">
      <alignment horizontal="center" vertical="center"/>
    </xf>
    <xf numFmtId="0" fontId="0" fillId="7" borderId="1" xfId="0" applyFill="1" applyBorder="1" applyProtection="1">
      <protection locked="0"/>
    </xf>
    <xf numFmtId="166" fontId="0" fillId="7" borderId="1" xfId="3" applyNumberFormat="1" applyFont="1" applyFill="1" applyBorder="1" applyAlignment="1" applyProtection="1">
      <alignment horizontal="center"/>
      <protection locked="0"/>
    </xf>
    <xf numFmtId="166" fontId="0" fillId="7" borderId="1" xfId="0" applyNumberFormat="1" applyFill="1" applyBorder="1" applyAlignment="1" applyProtection="1">
      <alignment horizontal="center"/>
      <protection locked="0"/>
    </xf>
    <xf numFmtId="0" fontId="31" fillId="6" borderId="0" xfId="0" applyFont="1" applyFill="1" applyAlignment="1">
      <alignment horizontal="left" indent="1"/>
    </xf>
    <xf numFmtId="0" fontId="31" fillId="6" borderId="0" xfId="0" applyFont="1" applyFill="1"/>
    <xf numFmtId="166" fontId="31" fillId="6" borderId="0" xfId="3" applyNumberFormat="1" applyFont="1" applyFill="1" applyBorder="1" applyAlignment="1">
      <alignment horizontal="center"/>
    </xf>
    <xf numFmtId="166" fontId="31" fillId="6" borderId="0" xfId="0" applyNumberFormat="1" applyFont="1" applyFill="1" applyAlignment="1">
      <alignment horizontal="center"/>
    </xf>
    <xf numFmtId="168" fontId="31" fillId="6" borderId="0" xfId="0" applyNumberFormat="1" applyFont="1" applyFill="1" applyAlignment="1">
      <alignment horizontal="center"/>
    </xf>
    <xf numFmtId="164" fontId="9" fillId="6" borderId="0" xfId="2" applyNumberFormat="1" applyFont="1" applyFill="1" applyBorder="1" applyAlignment="1">
      <alignment horizontal="center" wrapText="1"/>
    </xf>
    <xf numFmtId="0" fontId="12" fillId="7" borderId="3" xfId="0" applyFont="1" applyFill="1" applyBorder="1" applyProtection="1">
      <protection locked="0"/>
    </xf>
    <xf numFmtId="0" fontId="14" fillId="9" borderId="3" xfId="0" applyFont="1" applyFill="1" applyBorder="1"/>
    <xf numFmtId="0" fontId="10" fillId="0" borderId="6" xfId="0" applyFont="1" applyBorder="1" applyAlignment="1">
      <alignment horizontal="center"/>
    </xf>
    <xf numFmtId="0" fontId="12" fillId="6" borderId="0" xfId="0" applyFont="1" applyFill="1" applyAlignment="1">
      <alignment horizontal="left" indent="1"/>
    </xf>
    <xf numFmtId="0" fontId="31" fillId="6" borderId="0" xfId="0" applyFont="1" applyFill="1" applyAlignment="1">
      <alignment horizontal="left" indent="2"/>
    </xf>
    <xf numFmtId="0" fontId="3" fillId="0" borderId="0" xfId="5" applyFont="1" applyAlignment="1">
      <alignment horizontal="center"/>
    </xf>
    <xf numFmtId="0" fontId="3" fillId="0" borderId="10" xfId="5" applyFont="1" applyBorder="1" applyAlignment="1">
      <alignment horizontal="center"/>
    </xf>
    <xf numFmtId="0" fontId="3" fillId="0" borderId="0" xfId="5" applyFont="1"/>
    <xf numFmtId="0" fontId="3" fillId="0" borderId="6" xfId="5" applyFont="1" applyBorder="1" applyAlignment="1">
      <alignment horizontal="center"/>
    </xf>
    <xf numFmtId="0" fontId="3" fillId="0" borderId="11" xfId="5" applyFont="1" applyBorder="1" applyAlignment="1">
      <alignment horizontal="center"/>
    </xf>
    <xf numFmtId="164" fontId="1" fillId="0" borderId="0" xfId="8" applyNumberFormat="1" applyFont="1"/>
    <xf numFmtId="164" fontId="1" fillId="0" borderId="10" xfId="8" applyNumberFormat="1" applyFont="1" applyBorder="1"/>
    <xf numFmtId="164" fontId="3" fillId="0" borderId="19" xfId="8" applyNumberFormat="1" applyFont="1" applyBorder="1"/>
    <xf numFmtId="164" fontId="3" fillId="0" borderId="20" xfId="8" applyNumberFormat="1" applyFont="1" applyBorder="1"/>
    <xf numFmtId="0" fontId="40" fillId="0" borderId="0" xfId="5" applyFont="1"/>
    <xf numFmtId="165" fontId="40" fillId="0" borderId="0" xfId="8" applyNumberFormat="1" applyFont="1"/>
    <xf numFmtId="165" fontId="41" fillId="0" borderId="21" xfId="5" applyNumberFormat="1" applyFont="1" applyBorder="1"/>
    <xf numFmtId="37" fontId="1" fillId="0" borderId="0" xfId="8" applyNumberFormat="1" applyFont="1"/>
    <xf numFmtId="44" fontId="1" fillId="0" borderId="0" xfId="5" applyNumberFormat="1" applyFont="1"/>
    <xf numFmtId="164" fontId="1" fillId="0" borderId="22" xfId="8" applyNumberFormat="1" applyFont="1" applyBorder="1"/>
    <xf numFmtId="164" fontId="41" fillId="0" borderId="0" xfId="8" applyNumberFormat="1" applyFont="1"/>
    <xf numFmtId="0" fontId="42" fillId="0" borderId="0" xfId="5" applyFont="1"/>
    <xf numFmtId="0" fontId="9" fillId="0" borderId="0" xfId="5" applyFont="1"/>
    <xf numFmtId="37" fontId="12" fillId="0" borderId="0" xfId="8" applyNumberFormat="1" applyFont="1"/>
    <xf numFmtId="164" fontId="12" fillId="0" borderId="22" xfId="8" applyNumberFormat="1" applyFont="1" applyBorder="1"/>
    <xf numFmtId="164" fontId="41" fillId="0" borderId="0" xfId="5" applyNumberFormat="1" applyFont="1"/>
    <xf numFmtId="9" fontId="1" fillId="0" borderId="0" xfId="5" applyNumberFormat="1" applyFont="1"/>
    <xf numFmtId="164" fontId="41" fillId="0" borderId="10" xfId="5" applyNumberFormat="1" applyFont="1" applyBorder="1"/>
    <xf numFmtId="0" fontId="43" fillId="13" borderId="0" xfId="5" applyFont="1" applyFill="1"/>
    <xf numFmtId="0" fontId="44" fillId="13" borderId="0" xfId="5" applyFont="1" applyFill="1"/>
    <xf numFmtId="0" fontId="45" fillId="14" borderId="0" xfId="5" applyFont="1" applyFill="1"/>
    <xf numFmtId="169" fontId="45" fillId="14" borderId="0" xfId="6" applyNumberFormat="1" applyFont="1" applyFill="1" applyBorder="1"/>
    <xf numFmtId="0" fontId="47" fillId="14" borderId="0" xfId="5" applyFont="1" applyFill="1" applyAlignment="1">
      <alignment horizontal="left" vertical="top" wrapText="1"/>
    </xf>
    <xf numFmtId="0" fontId="45" fillId="14" borderId="0" xfId="5" quotePrefix="1" applyFont="1" applyFill="1"/>
    <xf numFmtId="42" fontId="45" fillId="14" borderId="0" xfId="5" applyNumberFormat="1" applyFont="1" applyFill="1"/>
    <xf numFmtId="0" fontId="45" fillId="14" borderId="0" xfId="5" applyFont="1" applyFill="1" applyAlignment="1">
      <alignment horizontal="center"/>
    </xf>
    <xf numFmtId="0" fontId="24" fillId="15" borderId="24" xfId="5" applyFont="1" applyFill="1" applyBorder="1"/>
    <xf numFmtId="0" fontId="39" fillId="15" borderId="25" xfId="5" applyFont="1" applyFill="1" applyBorder="1"/>
    <xf numFmtId="0" fontId="39" fillId="15" borderId="26" xfId="5" applyFont="1" applyFill="1" applyBorder="1"/>
    <xf numFmtId="0" fontId="9" fillId="6" borderId="27" xfId="5" applyFont="1" applyFill="1" applyBorder="1"/>
    <xf numFmtId="0" fontId="9" fillId="6" borderId="0" xfId="5" applyFont="1" applyFill="1"/>
    <xf numFmtId="5" fontId="8" fillId="6" borderId="0" xfId="8" applyNumberFormat="1" applyFont="1" applyFill="1" applyBorder="1"/>
    <xf numFmtId="0" fontId="9" fillId="6" borderId="28" xfId="5" applyFont="1" applyFill="1" applyBorder="1"/>
    <xf numFmtId="9" fontId="45" fillId="14" borderId="0" xfId="5" applyNumberFormat="1" applyFont="1" applyFill="1"/>
    <xf numFmtId="9" fontId="9" fillId="6" borderId="0" xfId="7" applyFont="1" applyFill="1" applyBorder="1" applyAlignment="1">
      <alignment horizontal="center"/>
    </xf>
    <xf numFmtId="9" fontId="9" fillId="6" borderId="0" xfId="7" applyFont="1" applyFill="1" applyBorder="1"/>
    <xf numFmtId="165" fontId="45" fillId="14" borderId="0" xfId="8" applyNumberFormat="1" applyFont="1" applyFill="1"/>
    <xf numFmtId="0" fontId="45" fillId="6" borderId="0" xfId="5" applyFont="1" applyFill="1" applyAlignment="1">
      <alignment horizontal="center"/>
    </xf>
    <xf numFmtId="165" fontId="45" fillId="6" borderId="28" xfId="8" applyNumberFormat="1" applyFont="1" applyFill="1" applyBorder="1"/>
    <xf numFmtId="165" fontId="45" fillId="6" borderId="31" xfId="8" applyNumberFormat="1" applyFont="1" applyFill="1" applyBorder="1"/>
    <xf numFmtId="165" fontId="9" fillId="6" borderId="0" xfId="8" applyNumberFormat="1" applyFont="1" applyFill="1" applyBorder="1"/>
    <xf numFmtId="5" fontId="9" fillId="6" borderId="0" xfId="8" applyNumberFormat="1" applyFont="1" applyFill="1" applyBorder="1" applyAlignment="1">
      <alignment horizontal="center"/>
    </xf>
    <xf numFmtId="5" fontId="9" fillId="6" borderId="0" xfId="8" applyNumberFormat="1" applyFont="1" applyFill="1" applyBorder="1"/>
    <xf numFmtId="0" fontId="9" fillId="6" borderId="29" xfId="5" applyFont="1" applyFill="1" applyBorder="1"/>
    <xf numFmtId="0" fontId="9" fillId="6" borderId="30" xfId="5" applyFont="1" applyFill="1" applyBorder="1"/>
    <xf numFmtId="165" fontId="9" fillId="6" borderId="30" xfId="8" applyNumberFormat="1" applyFont="1" applyFill="1" applyBorder="1"/>
    <xf numFmtId="5" fontId="9" fillId="6" borderId="30" xfId="8" applyNumberFormat="1" applyFont="1" applyFill="1" applyBorder="1" applyAlignment="1">
      <alignment horizontal="center"/>
    </xf>
    <xf numFmtId="5" fontId="9" fillId="6" borderId="30" xfId="8" applyNumberFormat="1" applyFont="1" applyFill="1" applyBorder="1"/>
    <xf numFmtId="0" fontId="3" fillId="6" borderId="27" xfId="5" applyFont="1" applyFill="1" applyBorder="1"/>
    <xf numFmtId="0" fontId="3" fillId="6" borderId="0" xfId="5" applyFont="1" applyFill="1"/>
    <xf numFmtId="165" fontId="3" fillId="6" borderId="0" xfId="5" applyNumberFormat="1" applyFont="1" applyFill="1"/>
    <xf numFmtId="5" fontId="3" fillId="6" borderId="0" xfId="5" applyNumberFormat="1" applyFont="1" applyFill="1"/>
    <xf numFmtId="165" fontId="3" fillId="6" borderId="28" xfId="5" applyNumberFormat="1" applyFont="1" applyFill="1" applyBorder="1"/>
    <xf numFmtId="9" fontId="3" fillId="6" borderId="0" xfId="7" applyFont="1" applyFill="1" applyBorder="1"/>
    <xf numFmtId="9" fontId="3" fillId="6" borderId="28" xfId="7" applyFont="1" applyFill="1" applyBorder="1"/>
    <xf numFmtId="0" fontId="48" fillId="6" borderId="27" xfId="5" applyFont="1" applyFill="1" applyBorder="1" applyAlignment="1">
      <alignment horizontal="left"/>
    </xf>
    <xf numFmtId="0" fontId="48" fillId="6" borderId="0" xfId="5" applyFont="1" applyFill="1" applyAlignment="1">
      <alignment horizontal="left"/>
    </xf>
    <xf numFmtId="9" fontId="48" fillId="6" borderId="0" xfId="7" applyFont="1" applyFill="1" applyBorder="1" applyAlignment="1"/>
    <xf numFmtId="0" fontId="1" fillId="6" borderId="28" xfId="5" applyFont="1" applyFill="1" applyBorder="1" applyAlignment="1">
      <alignment horizontal="left"/>
    </xf>
    <xf numFmtId="0" fontId="1" fillId="6" borderId="27" xfId="5" applyFont="1" applyFill="1" applyBorder="1" applyAlignment="1">
      <alignment horizontal="left"/>
    </xf>
    <xf numFmtId="0" fontId="1" fillId="6" borderId="0" xfId="5" applyFont="1" applyFill="1" applyAlignment="1">
      <alignment horizontal="left"/>
    </xf>
    <xf numFmtId="9" fontId="1" fillId="6" borderId="0" xfId="7" applyFont="1" applyFill="1" applyBorder="1" applyAlignment="1"/>
    <xf numFmtId="0" fontId="45" fillId="6" borderId="0" xfId="5" applyFont="1" applyFill="1"/>
    <xf numFmtId="0" fontId="49" fillId="6" borderId="0" xfId="5" applyFont="1" applyFill="1"/>
    <xf numFmtId="9" fontId="49" fillId="6" borderId="0" xfId="7" applyFont="1" applyFill="1" applyBorder="1"/>
    <xf numFmtId="0" fontId="45" fillId="6" borderId="28" xfId="5" applyFont="1" applyFill="1" applyBorder="1"/>
    <xf numFmtId="0" fontId="48" fillId="6" borderId="29" xfId="5" applyFont="1" applyFill="1" applyBorder="1" applyAlignment="1">
      <alignment horizontal="left"/>
    </xf>
    <xf numFmtId="0" fontId="48" fillId="6" borderId="30" xfId="5" applyFont="1" applyFill="1" applyBorder="1" applyAlignment="1">
      <alignment horizontal="left"/>
    </xf>
    <xf numFmtId="0" fontId="49" fillId="6" borderId="30" xfId="5" applyFont="1" applyFill="1" applyBorder="1"/>
    <xf numFmtId="9" fontId="49" fillId="6" borderId="30" xfId="7" applyFont="1" applyFill="1" applyBorder="1"/>
    <xf numFmtId="0" fontId="45" fillId="6" borderId="31" xfId="5" applyFont="1" applyFill="1" applyBorder="1"/>
    <xf numFmtId="0" fontId="9" fillId="14" borderId="0" xfId="5" applyFont="1" applyFill="1"/>
    <xf numFmtId="164" fontId="0" fillId="6" borderId="3" xfId="2" applyNumberFormat="1" applyFont="1" applyFill="1" applyBorder="1" applyProtection="1">
      <protection locked="0"/>
    </xf>
    <xf numFmtId="164" fontId="0" fillId="6" borderId="4" xfId="2" applyNumberFormat="1" applyFont="1" applyFill="1" applyBorder="1" applyProtection="1">
      <protection locked="0"/>
    </xf>
    <xf numFmtId="9" fontId="8" fillId="6" borderId="0" xfId="3" applyFont="1" applyFill="1" applyBorder="1" applyAlignment="1">
      <alignment horizontal="center"/>
    </xf>
    <xf numFmtId="9" fontId="1" fillId="0" borderId="0" xfId="3" applyFont="1"/>
    <xf numFmtId="3" fontId="1" fillId="0" borderId="0" xfId="5" applyNumberFormat="1" applyFont="1"/>
    <xf numFmtId="9" fontId="1" fillId="0" borderId="10" xfId="3" applyFont="1" applyBorder="1"/>
    <xf numFmtId="9" fontId="12" fillId="0" borderId="0" xfId="3" applyFont="1"/>
    <xf numFmtId="9" fontId="12" fillId="0" borderId="22" xfId="3" applyFont="1" applyBorder="1"/>
    <xf numFmtId="9" fontId="12" fillId="0" borderId="8" xfId="3" applyFont="1" applyBorder="1"/>
    <xf numFmtId="9" fontId="12" fillId="0" borderId="23" xfId="3" applyFont="1" applyBorder="1"/>
    <xf numFmtId="9" fontId="49" fillId="6" borderId="0" xfId="3" applyFont="1" applyFill="1" applyBorder="1"/>
    <xf numFmtId="164" fontId="4" fillId="0" borderId="0" xfId="5" applyNumberFormat="1" applyFont="1"/>
    <xf numFmtId="164" fontId="4" fillId="0" borderId="8" xfId="5" applyNumberFormat="1" applyFont="1" applyBorder="1"/>
    <xf numFmtId="164" fontId="31" fillId="0" borderId="0" xfId="8" applyNumberFormat="1" applyFont="1"/>
    <xf numFmtId="164" fontId="4" fillId="0" borderId="10" xfId="5" applyNumberFormat="1" applyFont="1" applyBorder="1"/>
    <xf numFmtId="0" fontId="9" fillId="6" borderId="0" xfId="5" applyFont="1" applyFill="1" applyAlignment="1">
      <alignment horizontal="left" indent="2"/>
    </xf>
    <xf numFmtId="164" fontId="4" fillId="0" borderId="10" xfId="8" applyNumberFormat="1" applyFont="1" applyBorder="1"/>
    <xf numFmtId="0" fontId="38" fillId="6" borderId="0" xfId="0" applyFont="1" applyFill="1" applyAlignment="1">
      <alignment horizontal="center" wrapText="1"/>
    </xf>
    <xf numFmtId="0" fontId="38" fillId="6" borderId="0" xfId="0" applyFont="1" applyFill="1" applyAlignment="1">
      <alignment horizontal="center"/>
    </xf>
    <xf numFmtId="1" fontId="38" fillId="6" borderId="0" xfId="2" applyNumberFormat="1" applyFont="1" applyFill="1" applyAlignment="1">
      <alignment horizontal="center"/>
    </xf>
    <xf numFmtId="0" fontId="50" fillId="6" borderId="0" xfId="5" applyFont="1" applyFill="1" applyAlignment="1">
      <alignment horizontal="left" indent="2"/>
    </xf>
    <xf numFmtId="0" fontId="50" fillId="6" borderId="0" xfId="5" applyFont="1" applyFill="1"/>
    <xf numFmtId="168" fontId="50" fillId="6" borderId="0" xfId="7" applyNumberFormat="1" applyFont="1" applyFill="1" applyBorder="1" applyAlignment="1">
      <alignment horizontal="center"/>
    </xf>
    <xf numFmtId="168" fontId="51" fillId="6" borderId="0" xfId="7" applyNumberFormat="1" applyFont="1" applyFill="1" applyBorder="1" applyAlignment="1">
      <alignment horizontal="center"/>
    </xf>
    <xf numFmtId="9" fontId="50" fillId="6" borderId="0" xfId="7" applyFont="1" applyFill="1" applyBorder="1" applyAlignment="1">
      <alignment horizontal="center"/>
    </xf>
    <xf numFmtId="9" fontId="51" fillId="6" borderId="0" xfId="7" applyFont="1" applyFill="1" applyBorder="1" applyAlignment="1">
      <alignment horizontal="center"/>
    </xf>
    <xf numFmtId="0" fontId="1" fillId="0" borderId="0" xfId="5" applyFont="1" applyAlignment="1">
      <alignment horizontal="left" indent="2"/>
    </xf>
    <xf numFmtId="164" fontId="4" fillId="0" borderId="6" xfId="5" applyNumberFormat="1" applyFont="1" applyBorder="1"/>
    <xf numFmtId="164" fontId="4" fillId="0" borderId="11" xfId="5" applyNumberFormat="1" applyFont="1" applyBorder="1"/>
    <xf numFmtId="0" fontId="43" fillId="11" borderId="0" xfId="5" applyFont="1" applyFill="1"/>
    <xf numFmtId="0" fontId="44" fillId="11" borderId="0" xfId="5" applyFont="1" applyFill="1"/>
    <xf numFmtId="0" fontId="43" fillId="10" borderId="0" xfId="5" applyFont="1" applyFill="1"/>
    <xf numFmtId="0" fontId="44" fillId="10" borderId="0" xfId="5" applyFont="1" applyFill="1"/>
    <xf numFmtId="0" fontId="1" fillId="0" borderId="0" xfId="0" applyFont="1"/>
    <xf numFmtId="164" fontId="1" fillId="7" borderId="1" xfId="0" applyNumberFormat="1" applyFont="1" applyFill="1" applyBorder="1" applyProtection="1">
      <protection locked="0"/>
    </xf>
    <xf numFmtId="169" fontId="31" fillId="0" borderId="0" xfId="6" applyNumberFormat="1" applyFont="1" applyFill="1" applyBorder="1" applyAlignment="1" applyProtection="1">
      <alignment horizontal="left"/>
      <protection locked="0"/>
    </xf>
    <xf numFmtId="0" fontId="1" fillId="0" borderId="0" xfId="0" applyFont="1" applyAlignment="1">
      <alignment horizontal="left" indent="2"/>
    </xf>
    <xf numFmtId="0" fontId="0" fillId="6" borderId="0" xfId="0" applyFill="1" applyAlignment="1">
      <alignment horizontal="left" vertical="center" indent="3"/>
    </xf>
    <xf numFmtId="0" fontId="0" fillId="7" borderId="1" xfId="0" applyFill="1" applyBorder="1" applyAlignment="1" applyProtection="1">
      <alignment wrapText="1"/>
      <protection locked="0"/>
    </xf>
    <xf numFmtId="165" fontId="8" fillId="6" borderId="0" xfId="8" applyNumberFormat="1" applyFont="1" applyFill="1" applyBorder="1"/>
    <xf numFmtId="1" fontId="3" fillId="6" borderId="0" xfId="2" applyNumberFormat="1" applyFont="1" applyFill="1" applyBorder="1" applyAlignment="1" applyProtection="1">
      <alignment horizontal="center"/>
      <protection locked="0"/>
    </xf>
    <xf numFmtId="170" fontId="0" fillId="5" borderId="1" xfId="3" applyNumberFormat="1" applyFont="1" applyFill="1" applyBorder="1" applyAlignment="1" applyProtection="1">
      <alignment horizontal="center" vertical="center"/>
    </xf>
    <xf numFmtId="166" fontId="0" fillId="9" borderId="1" xfId="3" applyNumberFormat="1" applyFont="1" applyFill="1" applyBorder="1" applyAlignment="1" applyProtection="1">
      <alignment horizontal="center"/>
    </xf>
    <xf numFmtId="166" fontId="0" fillId="9" borderId="1" xfId="0" applyNumberFormat="1" applyFill="1" applyBorder="1" applyAlignment="1">
      <alignment horizontal="center"/>
    </xf>
    <xf numFmtId="168" fontId="0" fillId="9" borderId="1" xfId="3" applyNumberFormat="1" applyFont="1" applyFill="1" applyBorder="1" applyAlignment="1" applyProtection="1">
      <alignment horizontal="center"/>
    </xf>
    <xf numFmtId="0" fontId="12" fillId="6" borderId="0" xfId="0" applyFont="1" applyFill="1" applyProtection="1">
      <protection locked="0"/>
    </xf>
    <xf numFmtId="164" fontId="12" fillId="7" borderId="1" xfId="0" applyNumberFormat="1" applyFont="1" applyFill="1" applyBorder="1" applyAlignment="1" applyProtection="1">
      <alignment horizontal="center"/>
      <protection locked="0"/>
    </xf>
    <xf numFmtId="164" fontId="12" fillId="2" borderId="1" xfId="0" applyNumberFormat="1" applyFont="1" applyFill="1" applyBorder="1" applyAlignment="1" applyProtection="1">
      <alignment horizontal="center"/>
      <protection locked="0"/>
    </xf>
    <xf numFmtId="164" fontId="0" fillId="7" borderId="1" xfId="0" applyNumberFormat="1" applyFill="1" applyBorder="1" applyProtection="1">
      <protection locked="0"/>
    </xf>
    <xf numFmtId="164" fontId="0" fillId="9" borderId="1" xfId="2" applyNumberFormat="1" applyFont="1" applyFill="1" applyBorder="1" applyProtection="1"/>
    <xf numFmtId="164" fontId="0" fillId="6" borderId="3" xfId="2" applyNumberFormat="1" applyFont="1" applyFill="1" applyBorder="1" applyProtection="1"/>
    <xf numFmtId="164" fontId="0" fillId="6" borderId="5" xfId="2" applyNumberFormat="1" applyFont="1" applyFill="1" applyBorder="1" applyProtection="1"/>
    <xf numFmtId="164" fontId="0" fillId="6" borderId="4" xfId="2" applyNumberFormat="1" applyFont="1" applyFill="1" applyBorder="1" applyProtection="1"/>
    <xf numFmtId="164" fontId="12" fillId="6" borderId="0" xfId="0" applyNumberFormat="1" applyFont="1" applyFill="1" applyAlignment="1">
      <alignment horizontal="center"/>
    </xf>
    <xf numFmtId="164" fontId="3" fillId="6" borderId="5" xfId="2" applyNumberFormat="1" applyFont="1" applyFill="1" applyBorder="1" applyProtection="1"/>
    <xf numFmtId="164" fontId="12" fillId="6" borderId="1" xfId="0" applyNumberFormat="1" applyFont="1" applyFill="1" applyBorder="1"/>
    <xf numFmtId="164" fontId="12" fillId="9" borderId="1" xfId="0" applyNumberFormat="1" applyFont="1" applyFill="1" applyBorder="1"/>
    <xf numFmtId="164" fontId="9" fillId="6" borderId="5" xfId="2" applyNumberFormat="1" applyFont="1" applyFill="1" applyBorder="1" applyProtection="1"/>
    <xf numFmtId="164" fontId="3" fillId="6" borderId="18" xfId="0" applyNumberFormat="1" applyFont="1" applyFill="1" applyBorder="1"/>
    <xf numFmtId="0" fontId="3" fillId="6" borderId="5" xfId="0" applyFont="1" applyFill="1" applyBorder="1"/>
    <xf numFmtId="9" fontId="3" fillId="6" borderId="5" xfId="3" applyFont="1" applyFill="1" applyBorder="1" applyProtection="1"/>
    <xf numFmtId="9" fontId="31" fillId="0" borderId="15" xfId="5" applyNumberFormat="1" applyFont="1" applyBorder="1" applyAlignment="1">
      <alignment horizontal="center"/>
    </xf>
    <xf numFmtId="9" fontId="12" fillId="6" borderId="1" xfId="7" applyFont="1" applyFill="1" applyBorder="1" applyAlignment="1" applyProtection="1">
      <alignment horizontal="center"/>
    </xf>
    <xf numFmtId="0" fontId="35" fillId="0" borderId="0" xfId="5" applyFont="1" applyProtection="1">
      <protection locked="0"/>
    </xf>
    <xf numFmtId="164" fontId="3" fillId="6" borderId="32" xfId="0" applyNumberFormat="1" applyFont="1" applyFill="1" applyBorder="1"/>
    <xf numFmtId="0" fontId="18" fillId="0" borderId="10" xfId="0" applyFont="1" applyBorder="1" applyAlignment="1">
      <alignment horizontal="left" vertical="top" wrapText="1" indent="2"/>
    </xf>
    <xf numFmtId="0" fontId="18" fillId="0" borderId="0" xfId="0" applyFont="1" applyAlignment="1">
      <alignment horizontal="left" vertical="top" wrapText="1" indent="2"/>
    </xf>
    <xf numFmtId="0" fontId="16" fillId="0" borderId="0" xfId="0" applyFont="1" applyAlignment="1">
      <alignment wrapText="1"/>
    </xf>
    <xf numFmtId="0" fontId="0" fillId="6" borderId="10" xfId="0" applyFill="1" applyBorder="1" applyAlignment="1">
      <alignment horizontal="left" vertical="top" wrapText="1" indent="2"/>
    </xf>
    <xf numFmtId="0" fontId="0" fillId="6" borderId="0" xfId="0" applyFill="1" applyAlignment="1">
      <alignment horizontal="left" vertical="top" wrapText="1" indent="2"/>
    </xf>
    <xf numFmtId="0" fontId="0" fillId="6" borderId="2" xfId="0" applyFill="1" applyBorder="1" applyAlignment="1">
      <alignment horizontal="left" vertical="top" wrapText="1" indent="2"/>
    </xf>
    <xf numFmtId="9" fontId="31" fillId="0" borderId="2" xfId="5" applyNumberFormat="1" applyFont="1" applyBorder="1" applyAlignment="1">
      <alignment horizontal="center"/>
    </xf>
    <xf numFmtId="0" fontId="11" fillId="0" borderId="0" xfId="5" applyFont="1" applyAlignment="1">
      <alignment horizontal="left" indent="1"/>
    </xf>
    <xf numFmtId="9" fontId="31" fillId="0" borderId="0" xfId="5" applyNumberFormat="1" applyFont="1" applyAlignment="1">
      <alignment horizontal="center"/>
    </xf>
    <xf numFmtId="9" fontId="12" fillId="6" borderId="0" xfId="7" applyFont="1" applyFill="1" applyBorder="1" applyAlignment="1" applyProtection="1">
      <alignment horizontal="center"/>
    </xf>
    <xf numFmtId="9" fontId="12" fillId="2" borderId="0" xfId="7" applyFont="1" applyFill="1" applyBorder="1" applyAlignment="1" applyProtection="1">
      <alignment horizontal="center"/>
      <protection locked="0"/>
    </xf>
    <xf numFmtId="9" fontId="12" fillId="0" borderId="33" xfId="7" applyFont="1" applyFill="1" applyBorder="1" applyAlignment="1" applyProtection="1">
      <alignment horizontal="center"/>
    </xf>
    <xf numFmtId="9" fontId="12" fillId="0" borderId="33" xfId="7" applyFont="1" applyFill="1" applyBorder="1" applyAlignment="1" applyProtection="1">
      <alignment horizontal="center"/>
      <protection locked="0"/>
    </xf>
    <xf numFmtId="0" fontId="52" fillId="0" borderId="0" xfId="5" applyFont="1" applyAlignment="1">
      <alignment horizontal="center"/>
    </xf>
    <xf numFmtId="0" fontId="53" fillId="10" borderId="0" xfId="0" applyFont="1" applyFill="1"/>
    <xf numFmtId="166" fontId="5" fillId="9" borderId="1" xfId="3" applyNumberFormat="1" applyFont="1" applyFill="1" applyBorder="1" applyAlignment="1" applyProtection="1">
      <alignment horizontal="center"/>
    </xf>
    <xf numFmtId="0" fontId="10" fillId="6" borderId="0" xfId="0" applyFont="1" applyFill="1" applyAlignment="1">
      <alignment horizontal="left"/>
    </xf>
    <xf numFmtId="1" fontId="56" fillId="6" borderId="0" xfId="2" applyNumberFormat="1" applyFont="1" applyFill="1" applyBorder="1" applyAlignment="1" applyProtection="1">
      <alignment horizontal="left" wrapText="1" indent="7"/>
      <protection locked="0"/>
    </xf>
    <xf numFmtId="0" fontId="0" fillId="0" borderId="1" xfId="0" applyBorder="1" applyAlignment="1">
      <alignment horizontal="left"/>
    </xf>
    <xf numFmtId="166" fontId="3" fillId="8" borderId="1" xfId="3" applyNumberFormat="1" applyFont="1" applyFill="1" applyBorder="1"/>
    <xf numFmtId="0" fontId="0" fillId="0" borderId="1" xfId="0" applyBorder="1" applyAlignment="1">
      <alignment horizontal="left" indent="1"/>
    </xf>
    <xf numFmtId="0" fontId="0" fillId="0" borderId="1" xfId="0" applyBorder="1"/>
    <xf numFmtId="166" fontId="3" fillId="0" borderId="1" xfId="3" applyNumberFormat="1" applyFont="1" applyFill="1" applyBorder="1"/>
    <xf numFmtId="169" fontId="3" fillId="0" borderId="1" xfId="1" applyNumberFormat="1" applyFont="1" applyFill="1" applyBorder="1"/>
    <xf numFmtId="0" fontId="12" fillId="0" borderId="1" xfId="0" applyFont="1" applyBorder="1" applyAlignment="1">
      <alignment horizontal="left" wrapText="1"/>
    </xf>
    <xf numFmtId="168" fontId="0" fillId="0" borderId="1" xfId="0" applyNumberFormat="1" applyBorder="1"/>
    <xf numFmtId="0" fontId="12" fillId="0" borderId="1" xfId="0" applyFont="1" applyBorder="1" applyAlignment="1">
      <alignment horizontal="left" wrapText="1" indent="1"/>
    </xf>
    <xf numFmtId="0" fontId="0" fillId="0" borderId="1" xfId="0" applyBorder="1" applyAlignment="1">
      <alignment horizontal="left" indent="3"/>
    </xf>
    <xf numFmtId="168" fontId="0" fillId="8" borderId="1" xfId="0" applyNumberFormat="1" applyFill="1" applyBorder="1"/>
    <xf numFmtId="44" fontId="0" fillId="0" borderId="1" xfId="0" applyNumberFormat="1" applyBorder="1"/>
    <xf numFmtId="164" fontId="0" fillId="0" borderId="1" xfId="2" applyNumberFormat="1" applyFont="1" applyBorder="1"/>
    <xf numFmtId="164" fontId="3" fillId="0" borderId="1" xfId="2" applyNumberFormat="1" applyFont="1" applyBorder="1"/>
    <xf numFmtId="0" fontId="0" fillId="0" borderId="1" xfId="0" applyBorder="1" applyAlignment="1">
      <alignment horizontal="left" indent="2"/>
    </xf>
    <xf numFmtId="0" fontId="12" fillId="0" borderId="1" xfId="0" applyFont="1" applyBorder="1" applyAlignment="1">
      <alignment horizontal="left"/>
    </xf>
    <xf numFmtId="3" fontId="0" fillId="0" borderId="1" xfId="0" applyNumberFormat="1" applyBorder="1"/>
    <xf numFmtId="0" fontId="12" fillId="0" borderId="1" xfId="0" applyFont="1" applyBorder="1" applyAlignment="1">
      <alignment horizontal="left" indent="1"/>
    </xf>
    <xf numFmtId="167" fontId="0" fillId="0" borderId="1" xfId="0" applyNumberFormat="1" applyBorder="1"/>
    <xf numFmtId="164" fontId="3" fillId="0" borderId="1" xfId="0" applyNumberFormat="1" applyFont="1" applyBorder="1"/>
    <xf numFmtId="0" fontId="0" fillId="0" borderId="0" xfId="0" applyAlignment="1">
      <alignment vertical="top" wrapText="1"/>
    </xf>
    <xf numFmtId="0" fontId="0" fillId="0" borderId="0" xfId="0" applyAlignment="1">
      <alignment vertical="top"/>
    </xf>
    <xf numFmtId="0" fontId="2" fillId="0" borderId="0" xfId="0" applyFont="1" applyAlignment="1">
      <alignment vertical="top"/>
    </xf>
    <xf numFmtId="0" fontId="24" fillId="10" borderId="0" xfId="0" applyFont="1" applyFill="1"/>
    <xf numFmtId="0" fontId="39" fillId="10" borderId="0" xfId="0" applyFont="1" applyFill="1"/>
    <xf numFmtId="0" fontId="12" fillId="3" borderId="0" xfId="0" applyFont="1" applyFill="1"/>
    <xf numFmtId="0" fontId="43" fillId="10" borderId="0" xfId="0" applyFont="1" applyFill="1"/>
    <xf numFmtId="0" fontId="58" fillId="10" borderId="0" xfId="0" applyFont="1" applyFill="1"/>
    <xf numFmtId="0" fontId="59" fillId="11" borderId="0" xfId="0" applyFont="1" applyFill="1"/>
    <xf numFmtId="0" fontId="29" fillId="0" borderId="0" xfId="0" applyFont="1"/>
    <xf numFmtId="0" fontId="59" fillId="0" borderId="0" xfId="0" applyFont="1"/>
    <xf numFmtId="0" fontId="12" fillId="7" borderId="1" xfId="5" applyFont="1" applyFill="1" applyBorder="1" applyAlignment="1" applyProtection="1">
      <alignment horizontal="left"/>
      <protection locked="0"/>
    </xf>
    <xf numFmtId="9" fontId="12" fillId="0" borderId="0" xfId="7" applyFont="1" applyFill="1" applyBorder="1" applyAlignment="1" applyProtection="1">
      <alignment horizontal="center"/>
    </xf>
    <xf numFmtId="9" fontId="12" fillId="6" borderId="7" xfId="7" applyFont="1" applyFill="1" applyBorder="1" applyAlignment="1" applyProtection="1">
      <alignment horizontal="center"/>
    </xf>
    <xf numFmtId="0" fontId="34" fillId="0" borderId="0" xfId="5" applyFont="1" applyAlignment="1">
      <alignment vertical="center"/>
    </xf>
    <xf numFmtId="0" fontId="31" fillId="0" borderId="0" xfId="5" applyFont="1" applyAlignment="1" applyProtection="1">
      <alignment horizontal="left" vertical="center" wrapText="1"/>
      <protection locked="0"/>
    </xf>
    <xf numFmtId="0" fontId="32" fillId="0" borderId="0" xfId="5" applyFont="1" applyAlignment="1">
      <alignment vertical="center"/>
    </xf>
    <xf numFmtId="0" fontId="32" fillId="12" borderId="0" xfId="5" applyFont="1" applyFill="1" applyAlignment="1">
      <alignment vertical="center"/>
    </xf>
    <xf numFmtId="9" fontId="12" fillId="0" borderId="7" xfId="7" applyFont="1" applyFill="1" applyBorder="1" applyAlignment="1" applyProtection="1">
      <alignment horizontal="center"/>
    </xf>
    <xf numFmtId="166" fontId="12" fillId="9" borderId="1" xfId="7" applyNumberFormat="1" applyFont="1" applyFill="1" applyBorder="1" applyAlignment="1" applyProtection="1">
      <alignment horizontal="center"/>
    </xf>
    <xf numFmtId="166" fontId="12" fillId="6" borderId="1" xfId="7" applyNumberFormat="1" applyFont="1" applyFill="1" applyBorder="1" applyAlignment="1" applyProtection="1">
      <alignment horizontal="center"/>
    </xf>
    <xf numFmtId="166" fontId="12" fillId="7" borderId="1" xfId="7" applyNumberFormat="1" applyFont="1" applyFill="1" applyBorder="1" applyAlignment="1" applyProtection="1">
      <alignment horizontal="center"/>
      <protection locked="0"/>
    </xf>
    <xf numFmtId="166" fontId="33" fillId="0" borderId="0" xfId="6" applyNumberFormat="1" applyFont="1" applyFill="1" applyBorder="1"/>
    <xf numFmtId="166" fontId="12" fillId="0" borderId="0" xfId="7" applyNumberFormat="1" applyFont="1" applyFill="1" applyBorder="1" applyAlignment="1" applyProtection="1">
      <alignment horizontal="center"/>
      <protection locked="0"/>
    </xf>
    <xf numFmtId="166" fontId="12" fillId="2" borderId="0" xfId="7" applyNumberFormat="1" applyFont="1" applyFill="1" applyBorder="1" applyAlignment="1" applyProtection="1">
      <alignment horizontal="center"/>
      <protection locked="0"/>
    </xf>
    <xf numFmtId="166" fontId="12" fillId="6" borderId="0" xfId="7" applyNumberFormat="1" applyFont="1" applyFill="1" applyBorder="1" applyAlignment="1" applyProtection="1">
      <alignment horizontal="center"/>
      <protection locked="0"/>
    </xf>
    <xf numFmtId="1" fontId="3" fillId="6" borderId="0" xfId="2" applyNumberFormat="1" applyFont="1" applyFill="1" applyBorder="1" applyAlignment="1" applyProtection="1">
      <alignment horizontal="center"/>
    </xf>
    <xf numFmtId="0" fontId="12" fillId="0" borderId="0" xfId="5" applyFont="1" applyAlignment="1">
      <alignment horizontal="center"/>
    </xf>
    <xf numFmtId="169" fontId="33" fillId="0" borderId="0" xfId="6" applyNumberFormat="1" applyFont="1" applyFill="1" applyBorder="1" applyProtection="1"/>
    <xf numFmtId="9" fontId="33" fillId="0" borderId="0" xfId="7" applyFont="1" applyFill="1" applyBorder="1" applyAlignment="1" applyProtection="1">
      <alignment vertical="top"/>
    </xf>
    <xf numFmtId="0" fontId="52" fillId="0" borderId="6" xfId="5" applyFont="1" applyBorder="1" applyAlignment="1">
      <alignment horizontal="center"/>
    </xf>
    <xf numFmtId="0" fontId="10" fillId="0" borderId="0" xfId="5" applyFont="1" applyAlignment="1">
      <alignment vertical="center"/>
    </xf>
    <xf numFmtId="0" fontId="11" fillId="0" borderId="0" xfId="5" applyFont="1" applyAlignment="1">
      <alignment horizontal="left"/>
    </xf>
    <xf numFmtId="169" fontId="31" fillId="0" borderId="0" xfId="5" applyNumberFormat="1" applyFont="1" applyAlignment="1">
      <alignment horizontal="right" vertical="center"/>
    </xf>
    <xf numFmtId="169" fontId="33" fillId="0" borderId="0" xfId="6" applyNumberFormat="1" applyFont="1" applyFill="1" applyBorder="1" applyAlignment="1" applyProtection="1">
      <alignment vertical="center"/>
    </xf>
    <xf numFmtId="0" fontId="31" fillId="0" borderId="0" xfId="5" applyFont="1" applyAlignment="1">
      <alignment horizontal="left" indent="1"/>
    </xf>
    <xf numFmtId="0" fontId="35" fillId="0" borderId="0" xfId="5" applyFont="1"/>
    <xf numFmtId="0" fontId="54" fillId="0" borderId="10" xfId="0" applyFont="1" applyBorder="1" applyAlignment="1">
      <alignment horizontal="left" vertical="top" wrapText="1" indent="2"/>
    </xf>
    <xf numFmtId="0" fontId="54" fillId="0" borderId="0" xfId="0" applyFont="1" applyAlignment="1">
      <alignment horizontal="left" vertical="top" wrapText="1" indent="2"/>
    </xf>
    <xf numFmtId="0" fontId="54" fillId="0" borderId="2" xfId="0" applyFont="1" applyBorder="1" applyAlignment="1">
      <alignment horizontal="left" vertical="top" wrapText="1" indent="2"/>
    </xf>
    <xf numFmtId="0" fontId="18" fillId="0" borderId="10" xfId="0" applyFont="1" applyBorder="1" applyAlignment="1">
      <alignment horizontal="left" vertical="top" wrapText="1" indent="2"/>
    </xf>
    <xf numFmtId="0" fontId="18" fillId="0" borderId="0" xfId="0" applyFont="1" applyAlignment="1">
      <alignment horizontal="left" vertical="top" wrapText="1" indent="2"/>
    </xf>
    <xf numFmtId="0" fontId="22" fillId="0" borderId="10" xfId="0" applyFont="1" applyBorder="1" applyAlignment="1">
      <alignment horizontal="left" vertical="top" wrapText="1" indent="2"/>
    </xf>
    <xf numFmtId="0" fontId="22" fillId="0" borderId="0" xfId="0" applyFont="1" applyAlignment="1">
      <alignment horizontal="left" vertical="top" wrapText="1" indent="2"/>
    </xf>
    <xf numFmtId="0" fontId="55" fillId="0" borderId="0" xfId="0" applyFont="1" applyAlignment="1">
      <alignment wrapText="1"/>
    </xf>
    <xf numFmtId="0" fontId="22" fillId="0" borderId="2" xfId="0" applyFont="1" applyBorder="1" applyAlignment="1">
      <alignment horizontal="left" vertical="top" wrapText="1" indent="2"/>
    </xf>
    <xf numFmtId="0" fontId="25" fillId="0" borderId="10" xfId="4" applyBorder="1" applyAlignment="1">
      <alignment horizontal="left" vertical="top" wrapText="1" indent="4"/>
    </xf>
    <xf numFmtId="0" fontId="25" fillId="0" borderId="0" xfId="4" applyBorder="1" applyAlignment="1">
      <alignment horizontal="left" vertical="top" wrapText="1" indent="4"/>
    </xf>
    <xf numFmtId="0" fontId="25" fillId="0" borderId="2" xfId="4" applyBorder="1" applyAlignment="1">
      <alignment horizontal="left" vertical="top" wrapText="1" indent="4"/>
    </xf>
    <xf numFmtId="0" fontId="0" fillId="6" borderId="10" xfId="0" applyFill="1" applyBorder="1" applyAlignment="1">
      <alignment horizontal="left" vertical="top" wrapText="1"/>
    </xf>
    <xf numFmtId="0" fontId="0" fillId="6" borderId="0" xfId="0" applyFill="1" applyAlignment="1">
      <alignment horizontal="left" vertical="top" wrapText="1"/>
    </xf>
    <xf numFmtId="0" fontId="0" fillId="6" borderId="2" xfId="0" applyFill="1" applyBorder="1" applyAlignment="1">
      <alignment horizontal="left" vertical="top" wrapText="1"/>
    </xf>
    <xf numFmtId="0" fontId="0" fillId="6" borderId="10" xfId="0" applyFill="1" applyBorder="1" applyAlignment="1">
      <alignment horizontal="left" vertical="top" wrapText="1" indent="2"/>
    </xf>
    <xf numFmtId="0" fontId="0" fillId="6" borderId="0" xfId="0" applyFill="1" applyAlignment="1">
      <alignment horizontal="left" vertical="top" wrapText="1" indent="2"/>
    </xf>
    <xf numFmtId="0" fontId="0" fillId="6" borderId="2" xfId="0" applyFill="1" applyBorder="1" applyAlignment="1">
      <alignment horizontal="left" vertical="top" wrapText="1" indent="2"/>
    </xf>
    <xf numFmtId="0" fontId="0" fillId="6" borderId="10" xfId="0" applyFill="1" applyBorder="1" applyAlignment="1">
      <alignment horizontal="left" vertical="top" wrapText="1" indent="1"/>
    </xf>
    <xf numFmtId="0" fontId="0" fillId="6" borderId="0" xfId="0" applyFill="1" applyAlignment="1">
      <alignment horizontal="left" vertical="top" wrapText="1" indent="1"/>
    </xf>
    <xf numFmtId="0" fontId="0" fillId="6" borderId="2" xfId="0" applyFill="1" applyBorder="1" applyAlignment="1">
      <alignment horizontal="left" vertical="top" wrapText="1" indent="1"/>
    </xf>
    <xf numFmtId="0" fontId="0" fillId="6" borderId="11" xfId="0" applyFill="1" applyBorder="1" applyAlignment="1">
      <alignment horizontal="left" vertical="top" wrapText="1" indent="1"/>
    </xf>
    <xf numFmtId="0" fontId="0" fillId="6" borderId="6" xfId="0" applyFill="1" applyBorder="1" applyAlignment="1">
      <alignment horizontal="left" vertical="top" wrapText="1" indent="1"/>
    </xf>
    <xf numFmtId="0" fontId="0" fillId="6" borderId="12" xfId="0" applyFill="1" applyBorder="1" applyAlignment="1">
      <alignment horizontal="left" vertical="top" wrapText="1" indent="1"/>
    </xf>
    <xf numFmtId="0" fontId="25" fillId="6" borderId="8" xfId="4" applyFill="1" applyBorder="1" applyAlignment="1">
      <alignment horizontal="left" vertical="top" wrapText="1" indent="1"/>
    </xf>
    <xf numFmtId="0" fontId="25" fillId="6" borderId="7" xfId="4" applyFill="1" applyBorder="1" applyAlignment="1">
      <alignment horizontal="left" vertical="top" wrapText="1" indent="1"/>
    </xf>
    <xf numFmtId="0" fontId="25" fillId="6" borderId="9" xfId="4" applyFill="1" applyBorder="1" applyAlignment="1">
      <alignment horizontal="left" vertical="top" wrapText="1" indent="1"/>
    </xf>
    <xf numFmtId="0" fontId="0" fillId="6" borderId="8" xfId="0" applyFill="1" applyBorder="1" applyAlignment="1">
      <alignment vertical="top" wrapText="1"/>
    </xf>
    <xf numFmtId="0" fontId="0" fillId="6" borderId="7" xfId="0" applyFill="1" applyBorder="1" applyAlignment="1">
      <alignment vertical="top" wrapText="1"/>
    </xf>
    <xf numFmtId="0" fontId="0" fillId="6" borderId="9" xfId="0" applyFill="1" applyBorder="1" applyAlignment="1">
      <alignment vertical="top" wrapText="1"/>
    </xf>
    <xf numFmtId="0" fontId="0" fillId="6" borderId="10" xfId="0" applyFill="1" applyBorder="1" applyAlignment="1">
      <alignment vertical="top" wrapText="1"/>
    </xf>
    <xf numFmtId="0" fontId="0" fillId="6" borderId="0" xfId="0" applyFill="1" applyAlignment="1">
      <alignment vertical="top" wrapText="1"/>
    </xf>
    <xf numFmtId="0" fontId="0" fillId="6" borderId="2" xfId="0" applyFill="1" applyBorder="1" applyAlignment="1">
      <alignment vertical="top" wrapText="1"/>
    </xf>
    <xf numFmtId="0" fontId="0" fillId="6" borderId="10" xfId="0" applyFill="1" applyBorder="1" applyAlignment="1">
      <alignment horizontal="left" vertical="top" indent="1"/>
    </xf>
    <xf numFmtId="0" fontId="0" fillId="6" borderId="0" xfId="0" applyFill="1" applyAlignment="1">
      <alignment horizontal="left" vertical="top" indent="1"/>
    </xf>
    <xf numFmtId="0" fontId="0" fillId="6" borderId="2" xfId="0" applyFill="1" applyBorder="1" applyAlignment="1">
      <alignment horizontal="left" vertical="top" indent="1"/>
    </xf>
    <xf numFmtId="0" fontId="0" fillId="6" borderId="11" xfId="0" applyFill="1" applyBorder="1" applyAlignment="1">
      <alignment vertical="top" wrapText="1"/>
    </xf>
    <xf numFmtId="0" fontId="0" fillId="6" borderId="6" xfId="0" applyFill="1" applyBorder="1" applyAlignment="1">
      <alignment vertical="top" wrapText="1"/>
    </xf>
    <xf numFmtId="0" fontId="0" fillId="6" borderId="12" xfId="0" applyFill="1" applyBorder="1" applyAlignment="1">
      <alignment vertical="top" wrapText="1"/>
    </xf>
    <xf numFmtId="0" fontId="15" fillId="6" borderId="8" xfId="0" applyFont="1" applyFill="1" applyBorder="1" applyAlignment="1">
      <alignment vertical="top"/>
    </xf>
    <xf numFmtId="0" fontId="15" fillId="6" borderId="7" xfId="0" applyFont="1" applyFill="1" applyBorder="1" applyAlignment="1">
      <alignment vertical="top"/>
    </xf>
    <xf numFmtId="0" fontId="15" fillId="6" borderId="9" xfId="0" applyFont="1" applyFill="1" applyBorder="1" applyAlignment="1">
      <alignment vertical="top"/>
    </xf>
    <xf numFmtId="0" fontId="46" fillId="14" borderId="0" xfId="5" applyFont="1" applyFill="1" applyAlignment="1">
      <alignment horizontal="left" vertical="top" wrapText="1"/>
    </xf>
    <xf numFmtId="0" fontId="46" fillId="14" borderId="0" xfId="5" applyFont="1" applyFill="1" applyAlignment="1">
      <alignment horizontal="left"/>
    </xf>
    <xf numFmtId="164" fontId="9" fillId="6" borderId="6" xfId="2" applyNumberFormat="1" applyFont="1" applyFill="1" applyBorder="1" applyAlignment="1">
      <alignment horizontal="center" wrapText="1"/>
    </xf>
    <xf numFmtId="0" fontId="13" fillId="2" borderId="0" xfId="0" applyFont="1" applyFill="1" applyAlignment="1">
      <alignment horizontal="center"/>
    </xf>
    <xf numFmtId="0" fontId="3" fillId="2" borderId="0" xfId="0" applyFont="1" applyFill="1" applyAlignment="1">
      <alignment horizontal="center" vertical="center" wrapText="1"/>
    </xf>
    <xf numFmtId="0" fontId="17" fillId="2" borderId="0" xfId="0" applyFont="1" applyFill="1" applyAlignment="1">
      <alignment vertical="top" wrapText="1"/>
    </xf>
    <xf numFmtId="0" fontId="52" fillId="0" borderId="0" xfId="5" applyFont="1" applyAlignment="1">
      <alignment horizontal="center"/>
    </xf>
    <xf numFmtId="0" fontId="52" fillId="0" borderId="6" xfId="5" applyFont="1" applyBorder="1" applyAlignment="1">
      <alignment horizontal="center"/>
    </xf>
    <xf numFmtId="169" fontId="57" fillId="0" borderId="5" xfId="6" applyNumberFormat="1" applyFont="1" applyFill="1" applyBorder="1" applyAlignment="1" applyProtection="1">
      <alignment horizontal="center" vertical="center" wrapText="1"/>
    </xf>
    <xf numFmtId="0" fontId="9" fillId="6" borderId="0" xfId="0" applyFont="1" applyFill="1" applyAlignment="1">
      <alignment horizontal="left"/>
    </xf>
    <xf numFmtId="0" fontId="9" fillId="6" borderId="6" xfId="0" applyFont="1" applyFill="1" applyBorder="1" applyAlignment="1">
      <alignment horizontal="left"/>
    </xf>
    <xf numFmtId="0" fontId="9" fillId="6" borderId="0" xfId="0" applyFont="1" applyFill="1" applyAlignment="1">
      <alignment horizontal="center" wrapText="1"/>
    </xf>
    <xf numFmtId="0" fontId="9" fillId="6" borderId="6" xfId="0" applyFont="1" applyFill="1" applyBorder="1" applyAlignment="1">
      <alignment horizontal="center" wrapText="1"/>
    </xf>
    <xf numFmtId="164" fontId="9" fillId="6" borderId="0" xfId="2" applyNumberFormat="1" applyFont="1" applyFill="1" applyAlignment="1">
      <alignment horizontal="center" wrapText="1"/>
    </xf>
    <xf numFmtId="0" fontId="11" fillId="6" borderId="0" xfId="0" applyFont="1" applyFill="1" applyAlignment="1">
      <alignment vertical="center" wrapText="1"/>
    </xf>
  </cellXfs>
  <cellStyles count="9">
    <cellStyle name="Comma" xfId="1" builtinId="3"/>
    <cellStyle name="Comma 2" xfId="6" xr:uid="{BD69856B-B184-4203-8BC4-B6F6F997D93E}"/>
    <cellStyle name="Currency" xfId="2" builtinId="4"/>
    <cellStyle name="Currency 2" xfId="8" xr:uid="{A5233B45-32D6-446C-8819-C440DBABBE03}"/>
    <cellStyle name="Hyperlink" xfId="4" builtinId="8"/>
    <cellStyle name="Normal" xfId="0" builtinId="0"/>
    <cellStyle name="Normal 2" xfId="5" xr:uid="{9CE10F89-CB11-407B-85C5-210DFC722265}"/>
    <cellStyle name="Percent" xfId="3" builtinId="5"/>
    <cellStyle name="Percent 2" xfId="7" xr:uid="{BEDB340B-D0F6-4C43-9EDB-3434596DBB6B}"/>
  </cellStyles>
  <dxfs count="0"/>
  <tableStyles count="0" defaultTableStyle="TableStyleMedium2" defaultPivotStyle="PivotStyleLight16"/>
  <colors>
    <mruColors>
      <color rgb="FFB42C33"/>
      <color rgb="FF1D2172"/>
      <color rgb="FF4472C4"/>
      <color rgb="FF8FA2D4"/>
      <color rgb="FF404040"/>
      <color rgb="FF3B64AD"/>
      <color rgb="FF8FC36B"/>
      <color rgb="FF9999FF"/>
      <color rgb="FFA2CD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n-US" sz="1400"/>
              <a:t>Annual Direct Expenses per Student (Annual Unit</a:t>
            </a:r>
            <a:r>
              <a:rPr lang="en-US" sz="1400" baseline="0"/>
              <a:t> Cost) &amp; Student Utilization Rate</a:t>
            </a:r>
            <a:endParaRPr lang="en-US" sz="1400"/>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5.5573034982476933E-2"/>
          <c:y val="0.14718253968253969"/>
          <c:w val="0.89719589861899285"/>
          <c:h val="0.61558246999664024"/>
        </c:manualLayout>
      </c:layout>
      <c:barChart>
        <c:barDir val="col"/>
        <c:grouping val="clustered"/>
        <c:varyColors val="0"/>
        <c:ser>
          <c:idx val="1"/>
          <c:order val="1"/>
          <c:tx>
            <c:strRef>
              <c:f>'DB Data'!$A$25</c:f>
              <c:strCache>
                <c:ptCount val="1"/>
                <c:pt idx="0">
                  <c:v>Total Direct Expense per Student (use)</c:v>
                </c:pt>
              </c:strCache>
            </c:strRef>
          </c:tx>
          <c:spPr>
            <a:solidFill>
              <a:srgbClr val="8FA2D4"/>
            </a:solidFill>
            <a:ln>
              <a:noFill/>
            </a:ln>
            <a:effectLst/>
          </c:spPr>
          <c:invertIfNegative val="0"/>
          <c:dLbls>
            <c:dLbl>
              <c:idx val="0"/>
              <c:layout>
                <c:manualLayout>
                  <c:x val="1.4491058217998091E-17"/>
                  <c:y val="-2.38095238095238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04-4083-B94E-7C028E14776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40404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Lit>
              <c:ptCount val="5"/>
              <c:pt idx="0">
                <c:v>2</c:v>
              </c:pt>
              <c:pt idx="1">
                <c:v>3</c:v>
              </c:pt>
              <c:pt idx="2">
                <c:v>4</c:v>
              </c:pt>
              <c:pt idx="3">
                <c:v>5</c:v>
              </c:pt>
              <c:pt idx="4">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'DB Data'!$B$25:$G$25</c15:sqref>
                  </c15:fullRef>
                </c:ext>
              </c:extLst>
              <c:f>'DB Data'!$C$25:$G$25</c:f>
              <c:numCache>
                <c:formatCode>_("$"* #,##0_);_("$"* \(#,##0\);_("$"* "-"??_);_(@_)</c:formatCode>
                <c:ptCount val="5"/>
                <c:pt idx="0">
                  <c:v>60.81448717948718</c:v>
                </c:pt>
                <c:pt idx="1">
                  <c:v>96.568190000000001</c:v>
                </c:pt>
                <c:pt idx="2">
                  <c:v>90.1966824</c:v>
                </c:pt>
                <c:pt idx="3">
                  <c:v>90.930841442790722</c:v>
                </c:pt>
                <c:pt idx="4">
                  <c:v>90.641516038200024</c:v>
                </c:pt>
              </c:numCache>
            </c:numRef>
          </c:val>
          <c:extLst>
            <c:ext xmlns:c16="http://schemas.microsoft.com/office/drawing/2014/chart" uri="{C3380CC4-5D6E-409C-BE32-E72D297353CC}">
              <c16:uniqueId val="{00000001-5750-468E-AB53-123E85D5714E}"/>
            </c:ext>
          </c:extLst>
        </c:ser>
        <c:dLbls>
          <c:showLegendKey val="0"/>
          <c:showVal val="0"/>
          <c:showCatName val="0"/>
          <c:showSerName val="0"/>
          <c:showPercent val="0"/>
          <c:showBubbleSize val="0"/>
        </c:dLbls>
        <c:gapWidth val="247"/>
        <c:axId val="789125999"/>
        <c:axId val="789111855"/>
      </c:barChart>
      <c:lineChart>
        <c:grouping val="standard"/>
        <c:varyColors val="0"/>
        <c:ser>
          <c:idx val="0"/>
          <c:order val="0"/>
          <c:tx>
            <c:strRef>
              <c:f>'DB Data'!$A$24</c:f>
              <c:strCache>
                <c:ptCount val="1"/>
                <c:pt idx="0">
                  <c:v>Student Utilization Rate (% use by undergraduates with access)</c:v>
                </c:pt>
              </c:strCache>
            </c:strRef>
          </c:tx>
          <c:spPr>
            <a:ln w="22225" cap="rnd">
              <a:solidFill>
                <a:srgbClr val="1D2172"/>
              </a:solidFill>
              <a:round/>
            </a:ln>
            <a:effectLst/>
          </c:spPr>
          <c:marker>
            <c:symbol val="circle"/>
            <c:size val="6"/>
            <c:spPr>
              <a:solidFill>
                <a:schemeClr val="lt1"/>
              </a:solidFill>
              <a:ln w="15875">
                <a:solidFill>
                  <a:srgbClr val="1D217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multiLvlStrRef>
              <c:extLst>
                <c:ext xmlns:c15="http://schemas.microsoft.com/office/drawing/2012/chart" uri="{02D57815-91ED-43cb-92C2-25804820EDAC}">
                  <c15:fullRef>
                    <c15:sqref>'DB Data'!$B$22:$G$23</c15:sqref>
                  </c15:fullRef>
                </c:ext>
              </c:extLst>
              <c:f>'DB Data'!$C$22:$G$23</c:f>
              <c:multiLvlStrCache>
                <c:ptCount val="5"/>
                <c:lvl>
                  <c:pt idx="0">
                    <c:v>2023-24</c:v>
                  </c:pt>
                  <c:pt idx="1">
                    <c:v>2024-25</c:v>
                  </c:pt>
                  <c:pt idx="2">
                    <c:v>2025-26</c:v>
                  </c:pt>
                  <c:pt idx="3">
                    <c:v>2026-27</c:v>
                  </c:pt>
                  <c:pt idx="4">
                    <c:v>2027-28</c:v>
                  </c:pt>
                </c:lvl>
                <c:lvl>
                  <c:pt idx="0">
                    <c:v>Year 1</c:v>
                  </c:pt>
                  <c:pt idx="1">
                    <c:v>Year 2</c:v>
                  </c:pt>
                  <c:pt idx="2">
                    <c:v>Year 3</c:v>
                  </c:pt>
                  <c:pt idx="3">
                    <c:v>Year 4</c:v>
                  </c:pt>
                  <c:pt idx="4">
                    <c:v>Year 5</c:v>
                  </c:pt>
                </c:lvl>
              </c:multiLvlStrCache>
            </c:multiLvlStrRef>
          </c:cat>
          <c:val>
            <c:numRef>
              <c:extLst>
                <c:ext xmlns:c15="http://schemas.microsoft.com/office/drawing/2012/chart" uri="{02D57815-91ED-43cb-92C2-25804820EDAC}">
                  <c15:fullRef>
                    <c15:sqref>'DB Data'!$B$24:$G$24</c15:sqref>
                  </c15:fullRef>
                </c:ext>
              </c:extLst>
              <c:f>'DB Data'!$C$24:$G$24</c:f>
              <c:numCache>
                <c:formatCode>0%</c:formatCode>
                <c:ptCount val="5"/>
                <c:pt idx="0">
                  <c:v>0.6</c:v>
                </c:pt>
                <c:pt idx="1">
                  <c:v>0.60929169840060926</c:v>
                </c:pt>
                <c:pt idx="2">
                  <c:v>0.6409628015352945</c:v>
                </c:pt>
                <c:pt idx="3">
                  <c:v>0.64208271324444177</c:v>
                </c:pt>
                <c:pt idx="4">
                  <c:v>0.65050977164990642</c:v>
                </c:pt>
              </c:numCache>
            </c:numRef>
          </c:val>
          <c:smooth val="0"/>
          <c:extLst>
            <c:ext xmlns:c16="http://schemas.microsoft.com/office/drawing/2014/chart" uri="{C3380CC4-5D6E-409C-BE32-E72D297353CC}">
              <c16:uniqueId val="{00000000-5750-468E-AB53-123E85D5714E}"/>
            </c:ext>
          </c:extLst>
        </c:ser>
        <c:dLbls>
          <c:showLegendKey val="0"/>
          <c:showVal val="0"/>
          <c:showCatName val="0"/>
          <c:showSerName val="0"/>
          <c:showPercent val="0"/>
          <c:showBubbleSize val="0"/>
        </c:dLbls>
        <c:marker val="1"/>
        <c:smooth val="0"/>
        <c:axId val="1754906175"/>
        <c:axId val="1754905343"/>
      </c:lineChart>
      <c:catAx>
        <c:axId val="789125999"/>
        <c:scaling>
          <c:orientation val="minMax"/>
        </c:scaling>
        <c:delete val="1"/>
        <c:axPos val="b"/>
        <c:numFmt formatCode="General" sourceLinked="1"/>
        <c:majorTickMark val="out"/>
        <c:minorTickMark val="none"/>
        <c:tickLblPos val="nextTo"/>
        <c:crossAx val="789111855"/>
        <c:crosses val="autoZero"/>
        <c:auto val="1"/>
        <c:lblAlgn val="ctr"/>
        <c:lblOffset val="100"/>
        <c:noMultiLvlLbl val="0"/>
      </c:catAx>
      <c:valAx>
        <c:axId val="789111855"/>
        <c:scaling>
          <c:orientation val="minMax"/>
          <c:min val="0"/>
        </c:scaling>
        <c:delete val="0"/>
        <c:axPos val="l"/>
        <c:numFmt formatCode="_(&quot;$&quot;* #,##0_);_(&quot;$&quot;* \(#,##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789125999"/>
        <c:crosses val="autoZero"/>
        <c:crossBetween val="between"/>
      </c:valAx>
      <c:valAx>
        <c:axId val="1754905343"/>
        <c:scaling>
          <c:orientation val="minMax"/>
          <c:max val="1"/>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754906175"/>
        <c:crosses val="max"/>
        <c:crossBetween val="between"/>
      </c:valAx>
      <c:catAx>
        <c:axId val="1754906175"/>
        <c:scaling>
          <c:orientation val="minMax"/>
        </c:scaling>
        <c:delete val="0"/>
        <c:axPos val="t"/>
        <c:numFmt formatCode="General" sourceLinked="1"/>
        <c:majorTickMark val="out"/>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1754905343"/>
        <c:crosses val="max"/>
        <c:auto val="1"/>
        <c:lblAlgn val="ctr"/>
        <c:lblOffset val="100"/>
        <c:noMultiLvlLbl val="0"/>
      </c:cat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n-US" sz="1400"/>
              <a:t>Annual Earned Net Revenue &amp; Return on Investment ('Breakeven')</a:t>
            </a:r>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'DB Data'!$A$37</c:f>
              <c:strCache>
                <c:ptCount val="1"/>
                <c:pt idx="0">
                  <c:v>Earned Net Revenue ($)</c:v>
                </c:pt>
              </c:strCache>
            </c:strRef>
          </c:tx>
          <c:spPr>
            <a:solidFill>
              <a:srgbClr val="8FA2D4"/>
            </a:solidFill>
            <a:ln>
              <a:noFill/>
            </a:ln>
            <a:effectLst/>
          </c:spPr>
          <c:invertIfNegative val="0"/>
          <c:dLbls>
            <c:numFmt formatCode="&quot;$&quot;#,##0\k;[Red]\(&quot;$&quot;#,##0\k\)"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multiLvlStrRef>
              <c:extLst>
                <c:ext xmlns:c15="http://schemas.microsoft.com/office/drawing/2012/chart" uri="{02D57815-91ED-43cb-92C2-25804820EDAC}">
                  <c15:fullRef>
                    <c15:sqref>'DB Data'!$B$35:$G$36</c15:sqref>
                  </c15:fullRef>
                </c:ext>
              </c:extLst>
              <c:f>'DB Data'!$C$35:$G$36</c:f>
              <c:multiLvlStrCache>
                <c:ptCount val="5"/>
                <c:lvl>
                  <c:pt idx="0">
                    <c:v>2023-24</c:v>
                  </c:pt>
                  <c:pt idx="1">
                    <c:v>2024-25</c:v>
                  </c:pt>
                  <c:pt idx="2">
                    <c:v>2025-26</c:v>
                  </c:pt>
                  <c:pt idx="3">
                    <c:v>2026-27</c:v>
                  </c:pt>
                  <c:pt idx="4">
                    <c:v>2027-28</c:v>
                  </c:pt>
                </c:lvl>
                <c:lvl>
                  <c:pt idx="0">
                    <c:v>Year 1</c:v>
                  </c:pt>
                  <c:pt idx="1">
                    <c:v>Year 2</c:v>
                  </c:pt>
                  <c:pt idx="2">
                    <c:v>Year 3</c:v>
                  </c:pt>
                  <c:pt idx="3">
                    <c:v>Year 4</c:v>
                  </c:pt>
                  <c:pt idx="4">
                    <c:v>Year 5</c:v>
                  </c:pt>
                </c:lvl>
              </c:multiLvlStrCache>
            </c:multiLvlStrRef>
          </c:cat>
          <c:val>
            <c:numRef>
              <c:extLst>
                <c:ext xmlns:c15="http://schemas.microsoft.com/office/drawing/2012/chart" uri="{02D57815-91ED-43cb-92C2-25804820EDAC}">
                  <c15:fullRef>
                    <c15:sqref>'DB Data'!$B$37:$G$37</c15:sqref>
                  </c15:fullRef>
                </c:ext>
              </c:extLst>
              <c:f>'DB Data'!$C$37:$G$37</c:f>
              <c:numCache>
                <c:formatCode>_("$"* #,##0_);_("$"* \(#,##0\);_("$"* "-"??_);_(@_)</c:formatCode>
                <c:ptCount val="5"/>
                <c:pt idx="0">
                  <c:v>-72712.057000003522</c:v>
                </c:pt>
                <c:pt idx="1">
                  <c:v>-12540.367999997339</c:v>
                </c:pt>
                <c:pt idx="2">
                  <c:v>14600.23675000295</c:v>
                </c:pt>
                <c:pt idx="3">
                  <c:v>37005.646545995958</c:v>
                </c:pt>
                <c:pt idx="4">
                  <c:v>39304.86048192298</c:v>
                </c:pt>
              </c:numCache>
            </c:numRef>
          </c:val>
          <c:extLst>
            <c:ext xmlns:c16="http://schemas.microsoft.com/office/drawing/2014/chart" uri="{C3380CC4-5D6E-409C-BE32-E72D297353CC}">
              <c16:uniqueId val="{00000000-2EBC-459F-AF2E-217BB07BF010}"/>
            </c:ext>
          </c:extLst>
        </c:ser>
        <c:dLbls>
          <c:showLegendKey val="0"/>
          <c:showVal val="0"/>
          <c:showCatName val="0"/>
          <c:showSerName val="0"/>
          <c:showPercent val="0"/>
          <c:showBubbleSize val="0"/>
        </c:dLbls>
        <c:gapWidth val="247"/>
        <c:overlap val="-27"/>
        <c:axId val="664308895"/>
        <c:axId val="664300991"/>
      </c:barChart>
      <c:lineChart>
        <c:grouping val="standard"/>
        <c:varyColors val="0"/>
        <c:ser>
          <c:idx val="1"/>
          <c:order val="1"/>
          <c:tx>
            <c:strRef>
              <c:f>'DB Data'!$A$38</c:f>
              <c:strCache>
                <c:ptCount val="1"/>
                <c:pt idx="0">
                  <c:v>Return on Investment (%)</c:v>
                </c:pt>
              </c:strCache>
            </c:strRef>
          </c:tx>
          <c:spPr>
            <a:ln w="22225" cap="rnd">
              <a:solidFill>
                <a:srgbClr val="3B64AD"/>
              </a:solidFill>
              <a:round/>
            </a:ln>
            <a:effectLst/>
          </c:spPr>
          <c:marker>
            <c:symbol val="circle"/>
            <c:size val="6"/>
            <c:spPr>
              <a:solidFill>
                <a:schemeClr val="lt1"/>
              </a:solidFill>
              <a:ln w="15875">
                <a:solidFill>
                  <a:schemeClr val="accent1">
                    <a:shade val="76000"/>
                  </a:schemeClr>
                </a:solidFill>
                <a:round/>
              </a:ln>
              <a:effectLst/>
            </c:spPr>
          </c:marker>
          <c:dLbls>
            <c:numFmt formatCode="0%;[Red]\-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lumMod val="7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Lit>
              <c:ptCount val="5"/>
              <c:pt idx="0">
                <c:v>2</c:v>
              </c:pt>
              <c:pt idx="1">
                <c:v>3</c:v>
              </c:pt>
              <c:pt idx="2">
                <c:v>4</c:v>
              </c:pt>
              <c:pt idx="3">
                <c:v>5</c:v>
              </c:pt>
              <c:pt idx="4">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'DB Data'!$B$38:$G$38</c15:sqref>
                  </c15:fullRef>
                </c:ext>
              </c:extLst>
              <c:f>'DB Data'!$C$38:$G$38</c:f>
              <c:numCache>
                <c:formatCode>0%</c:formatCode>
                <c:ptCount val="5"/>
                <c:pt idx="0">
                  <c:v>-0.19560011350673889</c:v>
                </c:pt>
                <c:pt idx="1">
                  <c:v>-1.8120510074553769E-2</c:v>
                </c:pt>
                <c:pt idx="2">
                  <c:v>2.059504104513013E-2</c:v>
                </c:pt>
                <c:pt idx="3">
                  <c:v>4.9927261175232052E-2</c:v>
                </c:pt>
                <c:pt idx="4">
                  <c:v>5.1901948683815757E-2</c:v>
                </c:pt>
              </c:numCache>
            </c:numRef>
          </c:val>
          <c:smooth val="0"/>
          <c:extLst>
            <c:ext xmlns:c16="http://schemas.microsoft.com/office/drawing/2014/chart" uri="{C3380CC4-5D6E-409C-BE32-E72D297353CC}">
              <c16:uniqueId val="{00000001-2EBC-459F-AF2E-217BB07BF010}"/>
            </c:ext>
          </c:extLst>
        </c:ser>
        <c:dLbls>
          <c:showLegendKey val="0"/>
          <c:showVal val="0"/>
          <c:showCatName val="0"/>
          <c:showSerName val="0"/>
          <c:showPercent val="0"/>
          <c:showBubbleSize val="0"/>
        </c:dLbls>
        <c:marker val="1"/>
        <c:smooth val="0"/>
        <c:axId val="664293919"/>
        <c:axId val="664306815"/>
      </c:lineChart>
      <c:catAx>
        <c:axId val="664308895"/>
        <c:scaling>
          <c:orientation val="minMax"/>
        </c:scaling>
        <c:delete val="0"/>
        <c:axPos val="b"/>
        <c:numFmt formatCode="General" sourceLinked="1"/>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64300991"/>
        <c:crosses val="autoZero"/>
        <c:auto val="1"/>
        <c:lblAlgn val="ctr"/>
        <c:lblOffset val="100"/>
        <c:noMultiLvlLbl val="0"/>
      </c:catAx>
      <c:valAx>
        <c:axId val="664300991"/>
        <c:scaling>
          <c:orientation val="minMax"/>
        </c:scaling>
        <c:delete val="0"/>
        <c:axPos val="l"/>
        <c:numFmt formatCode="_(&quot;$&quot;* #,##0_);_(&quot;$&quot;* \(#,##0\);_(&quot;$&quot;* &quot;-&quot;??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64308895"/>
        <c:crosses val="autoZero"/>
        <c:crossBetween val="between"/>
        <c:dispUnits>
          <c:builtInUnit val="thousands"/>
        </c:dispUnits>
      </c:valAx>
      <c:valAx>
        <c:axId val="664306815"/>
        <c:scaling>
          <c:orientation val="minMax"/>
        </c:scaling>
        <c:delete val="0"/>
        <c:axPos val="r"/>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64293919"/>
        <c:crosses val="max"/>
        <c:crossBetween val="between"/>
      </c:valAx>
      <c:catAx>
        <c:axId val="664293919"/>
        <c:scaling>
          <c:orientation val="minMax"/>
        </c:scaling>
        <c:delete val="1"/>
        <c:axPos val="b"/>
        <c:numFmt formatCode="General" sourceLinked="1"/>
        <c:majorTickMark val="out"/>
        <c:minorTickMark val="none"/>
        <c:tickLblPos val="nextTo"/>
        <c:crossAx val="664306815"/>
        <c:crosses val="autoZero"/>
        <c:auto val="1"/>
        <c:lblAlgn val="ctr"/>
        <c:lblOffset val="100"/>
        <c:noMultiLvlLbl val="0"/>
      </c:catAx>
      <c:spPr>
        <a:solidFill>
          <a:sysClr val="window" lastClr="FFFFFF"/>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cap="none" spc="0" normalizeH="0" baseline="0">
                <a:solidFill>
                  <a:sysClr val="windowText" lastClr="000000">
                    <a:lumMod val="50000"/>
                    <a:lumOff val="50000"/>
                  </a:sysClr>
                </a:solidFill>
                <a:latin typeface="+mj-lt"/>
                <a:ea typeface="+mj-ea"/>
                <a:cs typeface="+mj-cs"/>
              </a:defRPr>
            </a:pPr>
            <a:r>
              <a:rPr lang="en-US" sz="1400" b="1" i="0" u="none" strike="noStrike" kern="1200" cap="none" spc="0" normalizeH="0" baseline="0">
                <a:solidFill>
                  <a:sysClr val="windowText" lastClr="000000">
                    <a:lumMod val="50000"/>
                    <a:lumOff val="50000"/>
                  </a:sysClr>
                </a:solidFill>
                <a:latin typeface="+mj-lt"/>
                <a:ea typeface="+mj-ea"/>
                <a:cs typeface="+mj-cs"/>
              </a:rPr>
              <a:t>Distribution of Direct Expenses (All Years)</a:t>
            </a:r>
          </a:p>
        </c:rich>
      </c:tx>
      <c:overlay val="0"/>
      <c:spPr>
        <a:noFill/>
        <a:ln>
          <a:noFill/>
        </a:ln>
        <a:effectLst/>
      </c:spPr>
    </c:title>
    <c:autoTitleDeleted val="0"/>
    <c:plotArea>
      <c:layout>
        <c:manualLayout>
          <c:layoutTarget val="inner"/>
          <c:xMode val="edge"/>
          <c:yMode val="edge"/>
          <c:x val="3.1768903449243692E-2"/>
          <c:y val="0.2007005374328209"/>
          <c:w val="0.84283625730994149"/>
          <c:h val="0.69945225596800398"/>
        </c:manualLayout>
      </c:layout>
      <c:doughnutChart>
        <c:varyColors val="1"/>
        <c:ser>
          <c:idx val="6"/>
          <c:order val="6"/>
          <c:tx>
            <c:strRef>
              <c:f>'DB Data'!$H$10</c:f>
              <c:strCache>
                <c:ptCount val="1"/>
                <c:pt idx="0">
                  <c:v>2023-2028</c:v>
                </c:pt>
              </c:strCache>
            </c:strRef>
          </c:tx>
          <c:dPt>
            <c:idx val="0"/>
            <c:bubble3D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1CC0-49DD-BD7C-434758820919}"/>
              </c:ext>
            </c:extLst>
          </c:dPt>
          <c:dPt>
            <c:idx val="1"/>
            <c:bubble3D val="0"/>
            <c:spPr>
              <a:gradFill>
                <a:gsLst>
                  <a:gs pos="0">
                    <a:schemeClr val="accent2">
                      <a:tint val="100000"/>
                      <a:shade val="100000"/>
                      <a:satMod val="130000"/>
                    </a:schemeClr>
                  </a:gs>
                  <a:gs pos="100000">
                    <a:schemeClr val="accent2">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1CC0-49DD-BD7C-434758820919}"/>
              </c:ext>
            </c:extLst>
          </c:dPt>
          <c:dPt>
            <c:idx val="2"/>
            <c:bubble3D val="0"/>
            <c:spPr>
              <a:gradFill rotWithShape="1">
                <a:gsLst>
                  <a:gs pos="0">
                    <a:schemeClr val="accent3">
                      <a:tint val="100000"/>
                      <a:shade val="100000"/>
                      <a:satMod val="130000"/>
                    </a:schemeClr>
                  </a:gs>
                  <a:gs pos="100000">
                    <a:schemeClr val="accent3">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1CC0-49DD-BD7C-434758820919}"/>
              </c:ext>
            </c:extLst>
          </c:dPt>
          <c:dPt>
            <c:idx val="3"/>
            <c:bubble3D val="0"/>
            <c:spPr>
              <a:gradFill rotWithShape="1">
                <a:gsLst>
                  <a:gs pos="0">
                    <a:schemeClr val="accent4">
                      <a:tint val="100000"/>
                      <a:shade val="100000"/>
                      <a:satMod val="130000"/>
                    </a:schemeClr>
                  </a:gs>
                  <a:gs pos="100000">
                    <a:schemeClr val="accent4">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1CC0-49DD-BD7C-434758820919}"/>
              </c:ext>
            </c:extLst>
          </c:dPt>
          <c:dPt>
            <c:idx val="4"/>
            <c:bubble3D val="0"/>
            <c:spPr>
              <a:gradFill rotWithShape="1">
                <a:gsLst>
                  <a:gs pos="0">
                    <a:schemeClr val="accent5">
                      <a:tint val="100000"/>
                      <a:shade val="100000"/>
                      <a:satMod val="130000"/>
                    </a:schemeClr>
                  </a:gs>
                  <a:gs pos="100000">
                    <a:schemeClr val="accent5">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1CC0-49DD-BD7C-434758820919}"/>
              </c:ext>
            </c:extLst>
          </c:dPt>
          <c:dPt>
            <c:idx val="5"/>
            <c:bubble3D val="0"/>
            <c:spPr>
              <a:gradFill rotWithShape="1">
                <a:gsLst>
                  <a:gs pos="0">
                    <a:schemeClr val="accent6">
                      <a:tint val="100000"/>
                      <a:shade val="100000"/>
                      <a:satMod val="130000"/>
                    </a:schemeClr>
                  </a:gs>
                  <a:gs pos="100000">
                    <a:schemeClr val="accent6">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1CC0-49DD-BD7C-434758820919}"/>
              </c:ext>
            </c:extLst>
          </c:dPt>
          <c:dLbls>
            <c:dLbl>
              <c:idx val="0"/>
              <c:layout>
                <c:manualLayout>
                  <c:x val="0.18189555064486987"/>
                  <c:y val="-9.996937882764654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1CC0-49DD-BD7C-434758820919}"/>
                </c:ext>
              </c:extLst>
            </c:dLbl>
            <c:dLbl>
              <c:idx val="1"/>
              <c:layout>
                <c:manualLayout>
                  <c:x val="-0.20216626318720757"/>
                  <c:y val="0.2111417322834645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CC0-49DD-BD7C-434758820919}"/>
                </c:ext>
              </c:extLst>
            </c:dLbl>
            <c:dLbl>
              <c:idx val="2"/>
              <c:layout>
                <c:manualLayout>
                  <c:x val="-0.24570586165259106"/>
                  <c:y val="0.1190476190476189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1CC0-49DD-BD7C-434758820919}"/>
                </c:ext>
              </c:extLst>
            </c:dLbl>
            <c:dLbl>
              <c:idx val="3"/>
              <c:layout>
                <c:manualLayout>
                  <c:x val="-0.23293108510533245"/>
                  <c:y val="3.571428571428571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1CC0-49DD-BD7C-434758820919}"/>
                </c:ext>
              </c:extLst>
            </c:dLbl>
            <c:dLbl>
              <c:idx val="4"/>
              <c:layout>
                <c:manualLayout>
                  <c:x val="-0.25050527588811028"/>
                  <c:y val="-6.349206349206348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1CC0-49DD-BD7C-434758820919}"/>
                </c:ext>
              </c:extLst>
            </c:dLbl>
            <c:dLbl>
              <c:idx val="5"/>
              <c:layout>
                <c:manualLayout>
                  <c:x val="-0.26802179982619539"/>
                  <c:y val="-0.1349206349206349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1CC0-49DD-BD7C-434758820919}"/>
                </c:ext>
              </c:extLst>
            </c:dLbl>
            <c:dLbl>
              <c:idx val="6"/>
              <c:layout>
                <c:manualLayout>
                  <c:x val="0.23135837582022931"/>
                  <c:y val="-9.523809523809523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9-80A4-499B-AF3A-BFA1D5CD3E54}"/>
                </c:ext>
              </c:extLst>
            </c:dLbl>
            <c:numFmt formatCode="0%" sourceLinked="0"/>
            <c:spPr>
              <a:noFill/>
              <a:ln>
                <a:noFill/>
              </a:ln>
              <a:effectLst/>
            </c:spPr>
            <c:txPr>
              <a:bodyPr rot="0" spcFirstLastPara="1" vertOverflow="ellipsis" vert="horz" wrap="none" lIns="38100" tIns="19050" rIns="38100" bIns="19050" anchor="ctr" anchorCtr="1">
                <a:spAutoFit/>
              </a:bodyPr>
              <a:lstStyle/>
              <a:p>
                <a:pPr>
                  <a:defRPr sz="1000" b="1" i="0" u="none" strike="noStrike" kern="1200" baseline="0">
                    <a:solidFill>
                      <a:schemeClr val="tx2"/>
                    </a:solidFill>
                    <a:latin typeface="+mn-lt"/>
                    <a:ea typeface="+mn-ea"/>
                    <a:cs typeface="+mn-cs"/>
                  </a:defRPr>
                </a:pPr>
                <a:endParaRPr lang="en-US"/>
              </a:p>
            </c:txPr>
            <c:showLegendKey val="0"/>
            <c:showVal val="0"/>
            <c:showCatName val="1"/>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rect">
                    <a:avLst/>
                  </a:prstGeom>
                </c15:spPr>
              </c:ext>
            </c:extLst>
          </c:dLbls>
          <c:cat>
            <c:strRef>
              <c:f>'DB Data'!$A$11:$A$17</c:f>
              <c:strCache>
                <c:ptCount val="7"/>
                <c:pt idx="0">
                  <c:v>Compensation</c:v>
                </c:pt>
                <c:pt idx="1">
                  <c:v>Faculty/Staff/Student Stipends</c:v>
                </c:pt>
                <c:pt idx="2">
                  <c:v>Marketing/Comms &amp; PD</c:v>
                </c:pt>
                <c:pt idx="3">
                  <c:v>Technology</c:v>
                </c:pt>
                <c:pt idx="4">
                  <c:v>Contractual/Consulting Services</c:v>
                </c:pt>
                <c:pt idx="5">
                  <c:v>Student Expenses</c:v>
                </c:pt>
                <c:pt idx="6">
                  <c:v>All Other Operating Expenses</c:v>
                </c:pt>
              </c:strCache>
            </c:strRef>
          </c:cat>
          <c:val>
            <c:numRef>
              <c:f>'DB Data'!$H$11:$H$17</c:f>
              <c:numCache>
                <c:formatCode>_("$"* #,##0_);_("$"* \(#,##0\);_("$"* "-"??_);_(@_)</c:formatCode>
                <c:ptCount val="7"/>
                <c:pt idx="0">
                  <c:v>1705447.3244920801</c:v>
                </c:pt>
                <c:pt idx="1">
                  <c:v>52040.401599999997</c:v>
                </c:pt>
                <c:pt idx="2">
                  <c:v>33622.220880000001</c:v>
                </c:pt>
                <c:pt idx="3">
                  <c:v>69040.401599999997</c:v>
                </c:pt>
                <c:pt idx="4">
                  <c:v>5000</c:v>
                </c:pt>
                <c:pt idx="5">
                  <c:v>13010.100399999999</c:v>
                </c:pt>
                <c:pt idx="6">
                  <c:v>#N/A</c:v>
                </c:pt>
              </c:numCache>
            </c:numRef>
          </c:val>
          <c:extLst>
            <c:ext xmlns:c16="http://schemas.microsoft.com/office/drawing/2014/chart" uri="{C3380CC4-5D6E-409C-BE32-E72D297353CC}">
              <c16:uniqueId val="{00000018-80A4-499B-AF3A-BFA1D5CD3E54}"/>
            </c:ext>
          </c:extLst>
        </c:ser>
        <c:dLbls>
          <c:showLegendKey val="0"/>
          <c:showVal val="0"/>
          <c:showCatName val="0"/>
          <c:showSerName val="0"/>
          <c:showPercent val="0"/>
          <c:showBubbleSize val="0"/>
          <c:showLeaderLines val="1"/>
        </c:dLbls>
        <c:firstSliceAng val="0"/>
        <c:holeSize val="50"/>
        <c:extLst>
          <c:ext xmlns:c15="http://schemas.microsoft.com/office/drawing/2012/chart" uri="{02D57815-91ED-43cb-92C2-25804820EDAC}">
            <c15:filteredPieSeries>
              <c15:ser>
                <c:idx val="0"/>
                <c:order val="0"/>
                <c:tx>
                  <c:strRef>
                    <c:extLst>
                      <c:ext uri="{02D57815-91ED-43cb-92C2-25804820EDAC}">
                        <c15:formulaRef>
                          <c15:sqref>'DB Data'!$B$10</c15:sqref>
                        </c15:formulaRef>
                      </c:ext>
                    </c:extLst>
                    <c:strCache>
                      <c:ptCount val="1"/>
                      <c:pt idx="0">
                        <c:v>2022-23</c:v>
                      </c:pt>
                    </c:strCache>
                  </c:strRef>
                </c:tx>
                <c:dPt>
                  <c:idx val="6"/>
                  <c:bubble3D val="0"/>
                  <c:spPr>
                    <a:gradFill rotWithShape="1">
                      <a:gsLst>
                        <a:gs pos="0">
                          <a:schemeClr val="accent1">
                            <a:lumMod val="60000"/>
                            <a:tint val="100000"/>
                            <a:shade val="100000"/>
                            <a:satMod val="130000"/>
                          </a:schemeClr>
                        </a:gs>
                        <a:gs pos="100000">
                          <a:schemeClr val="accent1">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D-80A4-499B-AF3A-BFA1D5CD3E54}"/>
                    </c:ext>
                  </c:extLst>
                </c:dPt>
                <c:dPt>
                  <c:idx val="7"/>
                  <c:bubble3D val="0"/>
                  <c:spPr>
                    <a:gradFill rotWithShape="1">
                      <a:gsLst>
                        <a:gs pos="0">
                          <a:schemeClr val="accent2">
                            <a:lumMod val="60000"/>
                            <a:tint val="100000"/>
                            <a:shade val="100000"/>
                            <a:satMod val="130000"/>
                          </a:schemeClr>
                        </a:gs>
                        <a:gs pos="100000">
                          <a:schemeClr val="accent2">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F-80A4-499B-AF3A-BFA1D5CD3E54}"/>
                    </c:ext>
                  </c:extLst>
                </c:dPt>
                <c:dPt>
                  <c:idx val="8"/>
                  <c:bubble3D val="0"/>
                  <c:spPr>
                    <a:gradFill rotWithShape="1">
                      <a:gsLst>
                        <a:gs pos="0">
                          <a:schemeClr val="accent3">
                            <a:lumMod val="60000"/>
                            <a:tint val="100000"/>
                            <a:shade val="100000"/>
                            <a:satMod val="130000"/>
                          </a:schemeClr>
                        </a:gs>
                        <a:gs pos="100000">
                          <a:schemeClr val="accent3">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1-80A4-499B-AF3A-BFA1D5CD3E54}"/>
                    </c:ext>
                  </c:extLst>
                </c:dPt>
                <c:cat>
                  <c:strRef>
                    <c:extLst>
                      <c:ext uri="{02D57815-91ED-43cb-92C2-25804820EDAC}">
                        <c15:formulaRef>
                          <c15:sqref>'DB Data'!$A$11:$A$17</c15:sqref>
                        </c15:formulaRef>
                      </c:ext>
                    </c:extLst>
                    <c:strCache>
                      <c:ptCount val="7"/>
                      <c:pt idx="0">
                        <c:v>Compensation</c:v>
                      </c:pt>
                      <c:pt idx="1">
                        <c:v>Faculty/Staff/Student Stipends</c:v>
                      </c:pt>
                      <c:pt idx="2">
                        <c:v>Marketing/Comms &amp; PD</c:v>
                      </c:pt>
                      <c:pt idx="3">
                        <c:v>Technology</c:v>
                      </c:pt>
                      <c:pt idx="4">
                        <c:v>Contractual/Consulting Services</c:v>
                      </c:pt>
                      <c:pt idx="5">
                        <c:v>Student Expenses</c:v>
                      </c:pt>
                      <c:pt idx="6">
                        <c:v>All Other Operating Expenses</c:v>
                      </c:pt>
                    </c:strCache>
                  </c:strRef>
                </c:cat>
                <c:val>
                  <c:numRef>
                    <c:extLst>
                      <c:ext uri="{02D57815-91ED-43cb-92C2-25804820EDAC}">
                        <c15:formulaRef>
                          <c15:sqref>'DB Data'!$B$11:$B$17</c15:sqref>
                        </c15:formulaRef>
                      </c:ext>
                    </c:extLst>
                    <c:numCache>
                      <c:formatCode>_("$"* #,##0_);_("$"* \(#,##0\);_("$"* "-"??_);_(@_)</c:formatCode>
                      <c:ptCount val="7"/>
                      <c:pt idx="0">
                        <c:v>56550</c:v>
                      </c:pt>
                      <c:pt idx="1">
                        <c:v>0</c:v>
                      </c:pt>
                      <c:pt idx="2">
                        <c:v>5000</c:v>
                      </c:pt>
                      <c:pt idx="3">
                        <c:v>15000</c:v>
                      </c:pt>
                      <c:pt idx="4">
                        <c:v>5000</c:v>
                      </c:pt>
                      <c:pt idx="5">
                        <c:v>0</c:v>
                      </c:pt>
                      <c:pt idx="6">
                        <c:v>0</c:v>
                      </c:pt>
                    </c:numCache>
                  </c:numRef>
                </c:val>
                <c:extLst>
                  <c:ext xmlns:c16="http://schemas.microsoft.com/office/drawing/2014/chart" uri="{C3380CC4-5D6E-409C-BE32-E72D297353CC}">
                    <c16:uniqueId val="{00000012-80A4-499B-AF3A-BFA1D5CD3E54}"/>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'DB Data'!$C$10</c15:sqref>
                        </c15:formulaRef>
                      </c:ext>
                    </c:extLst>
                    <c:strCache>
                      <c:ptCount val="1"/>
                      <c:pt idx="0">
                        <c:v>2023-24</c:v>
                      </c:pt>
                    </c:strCache>
                  </c:strRef>
                </c:tx>
                <c:cat>
                  <c:strRef>
                    <c:extLst xmlns:c15="http://schemas.microsoft.com/office/drawing/2012/chart">
                      <c:ext xmlns:c15="http://schemas.microsoft.com/office/drawing/2012/chart" uri="{02D57815-91ED-43cb-92C2-25804820EDAC}">
                        <c15:formulaRef>
                          <c15:sqref>'DB Data'!$A$11:$A$17</c15:sqref>
                        </c15:formulaRef>
                      </c:ext>
                    </c:extLst>
                    <c:strCache>
                      <c:ptCount val="7"/>
                      <c:pt idx="0">
                        <c:v>Compensation</c:v>
                      </c:pt>
                      <c:pt idx="1">
                        <c:v>Faculty/Staff/Student Stipends</c:v>
                      </c:pt>
                      <c:pt idx="2">
                        <c:v>Marketing/Comms &amp; PD</c:v>
                      </c:pt>
                      <c:pt idx="3">
                        <c:v>Technology</c:v>
                      </c:pt>
                      <c:pt idx="4">
                        <c:v>Contractual/Consulting Services</c:v>
                      </c:pt>
                      <c:pt idx="5">
                        <c:v>Student Expenses</c:v>
                      </c:pt>
                      <c:pt idx="6">
                        <c:v>All Other Operating Expenses</c:v>
                      </c:pt>
                    </c:strCache>
                  </c:strRef>
                </c:cat>
                <c:val>
                  <c:numRef>
                    <c:extLst xmlns:c15="http://schemas.microsoft.com/office/drawing/2012/chart">
                      <c:ext xmlns:c15="http://schemas.microsoft.com/office/drawing/2012/chart" uri="{02D57815-91ED-43cb-92C2-25804820EDAC}">
                        <c15:formulaRef>
                          <c15:sqref>'DB Data'!$C$11:$C$17</c15:sqref>
                        </c15:formulaRef>
                      </c:ext>
                    </c:extLst>
                    <c:numCache>
                      <c:formatCode>_("$"* #,##0_);_("$"* \(#,##0\);_("$"* "-"??_);_(@_)</c:formatCode>
                      <c:ptCount val="7"/>
                      <c:pt idx="0">
                        <c:v>209176.5</c:v>
                      </c:pt>
                      <c:pt idx="1">
                        <c:v>10000</c:v>
                      </c:pt>
                      <c:pt idx="2">
                        <c:v>5500</c:v>
                      </c:pt>
                      <c:pt idx="3">
                        <c:v>10000</c:v>
                      </c:pt>
                      <c:pt idx="4">
                        <c:v>0</c:v>
                      </c:pt>
                      <c:pt idx="5">
                        <c:v>2500</c:v>
                      </c:pt>
                      <c:pt idx="6">
                        <c:v>0</c:v>
                      </c:pt>
                    </c:numCache>
                  </c:numRef>
                </c:val>
                <c:extLst xmlns:c15="http://schemas.microsoft.com/office/drawing/2012/chart">
                  <c:ext xmlns:c16="http://schemas.microsoft.com/office/drawing/2014/chart" uri="{C3380CC4-5D6E-409C-BE32-E72D297353CC}">
                    <c16:uniqueId val="{00000013-80A4-499B-AF3A-BFA1D5CD3E54}"/>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'DB Data'!$D$10</c15:sqref>
                        </c15:formulaRef>
                      </c:ext>
                    </c:extLst>
                    <c:strCache>
                      <c:ptCount val="1"/>
                      <c:pt idx="0">
                        <c:v>2024-25</c:v>
                      </c:pt>
                    </c:strCache>
                  </c:strRef>
                </c:tx>
                <c:cat>
                  <c:strRef>
                    <c:extLst xmlns:c15="http://schemas.microsoft.com/office/drawing/2012/chart">
                      <c:ext xmlns:c15="http://schemas.microsoft.com/office/drawing/2012/chart" uri="{02D57815-91ED-43cb-92C2-25804820EDAC}">
                        <c15:formulaRef>
                          <c15:sqref>'DB Data'!$A$11:$A$17</c15:sqref>
                        </c15:formulaRef>
                      </c:ext>
                    </c:extLst>
                    <c:strCache>
                      <c:ptCount val="7"/>
                      <c:pt idx="0">
                        <c:v>Compensation</c:v>
                      </c:pt>
                      <c:pt idx="1">
                        <c:v>Faculty/Staff/Student Stipends</c:v>
                      </c:pt>
                      <c:pt idx="2">
                        <c:v>Marketing/Comms &amp; PD</c:v>
                      </c:pt>
                      <c:pt idx="3">
                        <c:v>Technology</c:v>
                      </c:pt>
                      <c:pt idx="4">
                        <c:v>Contractual/Consulting Services</c:v>
                      </c:pt>
                      <c:pt idx="5">
                        <c:v>Student Expenses</c:v>
                      </c:pt>
                      <c:pt idx="6">
                        <c:v>All Other Operating Expenses</c:v>
                      </c:pt>
                    </c:strCache>
                  </c:strRef>
                </c:cat>
                <c:val>
                  <c:numRef>
                    <c:extLst xmlns:c15="http://schemas.microsoft.com/office/drawing/2012/chart">
                      <c:ext xmlns:c15="http://schemas.microsoft.com/office/drawing/2012/chart" uri="{02D57815-91ED-43cb-92C2-25804820EDAC}">
                        <c15:formulaRef>
                          <c15:sqref>'DB Data'!$D$11:$D$17</c15:sqref>
                        </c15:formulaRef>
                      </c:ext>
                    </c:extLst>
                    <c:numCache>
                      <c:formatCode>_("$"* #,##0_);_("$"* \(#,##0\);_("$"* "-"??_);_(@_)</c:formatCode>
                      <c:ptCount val="7"/>
                      <c:pt idx="0">
                        <c:v>355712.76</c:v>
                      </c:pt>
                      <c:pt idx="1">
                        <c:v>10200</c:v>
                      </c:pt>
                      <c:pt idx="2">
                        <c:v>5610</c:v>
                      </c:pt>
                      <c:pt idx="3">
                        <c:v>12200</c:v>
                      </c:pt>
                      <c:pt idx="4">
                        <c:v>0</c:v>
                      </c:pt>
                      <c:pt idx="5">
                        <c:v>2550</c:v>
                      </c:pt>
                      <c:pt idx="6">
                        <c:v>0</c:v>
                      </c:pt>
                    </c:numCache>
                  </c:numRef>
                </c:val>
                <c:extLst xmlns:c15="http://schemas.microsoft.com/office/drawing/2012/chart">
                  <c:ext xmlns:c16="http://schemas.microsoft.com/office/drawing/2014/chart" uri="{C3380CC4-5D6E-409C-BE32-E72D297353CC}">
                    <c16:uniqueId val="{00000014-80A4-499B-AF3A-BFA1D5CD3E54}"/>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'DB Data'!$E$10</c15:sqref>
                        </c15:formulaRef>
                      </c:ext>
                    </c:extLst>
                    <c:strCache>
                      <c:ptCount val="1"/>
                      <c:pt idx="0">
                        <c:v>2025-26</c:v>
                      </c:pt>
                    </c:strCache>
                  </c:strRef>
                </c:tx>
                <c:cat>
                  <c:strRef>
                    <c:extLst xmlns:c15="http://schemas.microsoft.com/office/drawing/2012/chart">
                      <c:ext xmlns:c15="http://schemas.microsoft.com/office/drawing/2012/chart" uri="{02D57815-91ED-43cb-92C2-25804820EDAC}">
                        <c15:formulaRef>
                          <c15:sqref>'DB Data'!$A$11:$A$17</c15:sqref>
                        </c15:formulaRef>
                      </c:ext>
                    </c:extLst>
                    <c:strCache>
                      <c:ptCount val="7"/>
                      <c:pt idx="0">
                        <c:v>Compensation</c:v>
                      </c:pt>
                      <c:pt idx="1">
                        <c:v>Faculty/Staff/Student Stipends</c:v>
                      </c:pt>
                      <c:pt idx="2">
                        <c:v>Marketing/Comms &amp; PD</c:v>
                      </c:pt>
                      <c:pt idx="3">
                        <c:v>Technology</c:v>
                      </c:pt>
                      <c:pt idx="4">
                        <c:v>Contractual/Consulting Services</c:v>
                      </c:pt>
                      <c:pt idx="5">
                        <c:v>Student Expenses</c:v>
                      </c:pt>
                      <c:pt idx="6">
                        <c:v>All Other Operating Expenses</c:v>
                      </c:pt>
                    </c:strCache>
                  </c:strRef>
                </c:cat>
                <c:val>
                  <c:numRef>
                    <c:extLst xmlns:c15="http://schemas.microsoft.com/office/drawing/2012/chart">
                      <c:ext xmlns:c15="http://schemas.microsoft.com/office/drawing/2012/chart" uri="{02D57815-91ED-43cb-92C2-25804820EDAC}">
                        <c15:formulaRef>
                          <c15:sqref>'DB Data'!$E$11:$E$17</c15:sqref>
                        </c15:formulaRef>
                      </c:ext>
                    </c:extLst>
                    <c:numCache>
                      <c:formatCode>_("$"* #,##0_);_("$"* \(#,##0\);_("$"* "-"??_);_(@_)</c:formatCode>
                      <c:ptCount val="7"/>
                      <c:pt idx="0">
                        <c:v>354204.70019999996</c:v>
                      </c:pt>
                      <c:pt idx="1">
                        <c:v>10404</c:v>
                      </c:pt>
                      <c:pt idx="2">
                        <c:v>5722.2</c:v>
                      </c:pt>
                      <c:pt idx="3">
                        <c:v>10404</c:v>
                      </c:pt>
                      <c:pt idx="4">
                        <c:v>0</c:v>
                      </c:pt>
                      <c:pt idx="5">
                        <c:v>2601</c:v>
                      </c:pt>
                      <c:pt idx="6">
                        <c:v>0</c:v>
                      </c:pt>
                    </c:numCache>
                  </c:numRef>
                </c:val>
                <c:extLst xmlns:c15="http://schemas.microsoft.com/office/drawing/2012/chart">
                  <c:ext xmlns:c16="http://schemas.microsoft.com/office/drawing/2014/chart" uri="{C3380CC4-5D6E-409C-BE32-E72D297353CC}">
                    <c16:uniqueId val="{00000015-80A4-499B-AF3A-BFA1D5CD3E54}"/>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'DB Data'!$F$10</c15:sqref>
                        </c15:formulaRef>
                      </c:ext>
                    </c:extLst>
                    <c:strCache>
                      <c:ptCount val="1"/>
                      <c:pt idx="0">
                        <c:v>2026-27</c:v>
                      </c:pt>
                    </c:strCache>
                  </c:strRef>
                </c:tx>
                <c:cat>
                  <c:strRef>
                    <c:extLst xmlns:c15="http://schemas.microsoft.com/office/drawing/2012/chart">
                      <c:ext xmlns:c15="http://schemas.microsoft.com/office/drawing/2012/chart" uri="{02D57815-91ED-43cb-92C2-25804820EDAC}">
                        <c15:formulaRef>
                          <c15:sqref>'DB Data'!$A$11:$A$17</c15:sqref>
                        </c15:formulaRef>
                      </c:ext>
                    </c:extLst>
                    <c:strCache>
                      <c:ptCount val="7"/>
                      <c:pt idx="0">
                        <c:v>Compensation</c:v>
                      </c:pt>
                      <c:pt idx="1">
                        <c:v>Faculty/Staff/Student Stipends</c:v>
                      </c:pt>
                      <c:pt idx="2">
                        <c:v>Marketing/Comms &amp; PD</c:v>
                      </c:pt>
                      <c:pt idx="3">
                        <c:v>Technology</c:v>
                      </c:pt>
                      <c:pt idx="4">
                        <c:v>Contractual/Consulting Services</c:v>
                      </c:pt>
                      <c:pt idx="5">
                        <c:v>Student Expenses</c:v>
                      </c:pt>
                      <c:pt idx="6">
                        <c:v>All Other Operating Expenses</c:v>
                      </c:pt>
                    </c:strCache>
                  </c:strRef>
                </c:cat>
                <c:val>
                  <c:numRef>
                    <c:extLst xmlns:c15="http://schemas.microsoft.com/office/drawing/2012/chart">
                      <c:ext xmlns:c15="http://schemas.microsoft.com/office/drawing/2012/chart" uri="{02D57815-91ED-43cb-92C2-25804820EDAC}">
                        <c15:formulaRef>
                          <c15:sqref>'DB Data'!$F$11:$F$17</c15:sqref>
                        </c15:formulaRef>
                      </c:ext>
                    </c:extLst>
                    <c:numCache>
                      <c:formatCode>_("$"* #,##0_);_("$"* \(#,##0\);_("$"* "-"??_);_(@_)</c:formatCode>
                      <c:ptCount val="7"/>
                      <c:pt idx="0">
                        <c:v>361288.79420400009</c:v>
                      </c:pt>
                      <c:pt idx="1">
                        <c:v>10612.08</c:v>
                      </c:pt>
                      <c:pt idx="2">
                        <c:v>5836.6440000000002</c:v>
                      </c:pt>
                      <c:pt idx="3">
                        <c:v>10612.08</c:v>
                      </c:pt>
                      <c:pt idx="4">
                        <c:v>0</c:v>
                      </c:pt>
                      <c:pt idx="5">
                        <c:v>2653.02</c:v>
                      </c:pt>
                      <c:pt idx="6">
                        <c:v>0</c:v>
                      </c:pt>
                    </c:numCache>
                  </c:numRef>
                </c:val>
                <c:extLst xmlns:c15="http://schemas.microsoft.com/office/drawing/2012/chart">
                  <c:ext xmlns:c16="http://schemas.microsoft.com/office/drawing/2014/chart" uri="{C3380CC4-5D6E-409C-BE32-E72D297353CC}">
                    <c16:uniqueId val="{00000016-80A4-499B-AF3A-BFA1D5CD3E54}"/>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'DB Data'!$G$10</c15:sqref>
                        </c15:formulaRef>
                      </c:ext>
                    </c:extLst>
                    <c:strCache>
                      <c:ptCount val="1"/>
                      <c:pt idx="0">
                        <c:v>2027-28</c:v>
                      </c:pt>
                    </c:strCache>
                  </c:strRef>
                </c:tx>
                <c:cat>
                  <c:strRef>
                    <c:extLst xmlns:c15="http://schemas.microsoft.com/office/drawing/2012/chart">
                      <c:ext xmlns:c15="http://schemas.microsoft.com/office/drawing/2012/chart" uri="{02D57815-91ED-43cb-92C2-25804820EDAC}">
                        <c15:formulaRef>
                          <c15:sqref>'DB Data'!$A$11:$A$17</c15:sqref>
                        </c15:formulaRef>
                      </c:ext>
                    </c:extLst>
                    <c:strCache>
                      <c:ptCount val="7"/>
                      <c:pt idx="0">
                        <c:v>Compensation</c:v>
                      </c:pt>
                      <c:pt idx="1">
                        <c:v>Faculty/Staff/Student Stipends</c:v>
                      </c:pt>
                      <c:pt idx="2">
                        <c:v>Marketing/Comms &amp; PD</c:v>
                      </c:pt>
                      <c:pt idx="3">
                        <c:v>Technology</c:v>
                      </c:pt>
                      <c:pt idx="4">
                        <c:v>Contractual/Consulting Services</c:v>
                      </c:pt>
                      <c:pt idx="5">
                        <c:v>Student Expenses</c:v>
                      </c:pt>
                      <c:pt idx="6">
                        <c:v>All Other Operating Expenses</c:v>
                      </c:pt>
                    </c:strCache>
                  </c:strRef>
                </c:cat>
                <c:val>
                  <c:numRef>
                    <c:extLst xmlns:c15="http://schemas.microsoft.com/office/drawing/2012/chart">
                      <c:ext xmlns:c15="http://schemas.microsoft.com/office/drawing/2012/chart" uri="{02D57815-91ED-43cb-92C2-25804820EDAC}">
                        <c15:formulaRef>
                          <c15:sqref>'DB Data'!$G$11:$G$17</c15:sqref>
                        </c15:formulaRef>
                      </c:ext>
                    </c:extLst>
                    <c:numCache>
                      <c:formatCode>_("$"* #,##0_);_("$"* \(#,##0\);_("$"* "-"??_);_(@_)</c:formatCode>
                      <c:ptCount val="7"/>
                      <c:pt idx="0">
                        <c:v>368514.57008808007</c:v>
                      </c:pt>
                      <c:pt idx="1">
                        <c:v>10824.321599999999</c:v>
                      </c:pt>
                      <c:pt idx="2">
                        <c:v>5953.3768799999998</c:v>
                      </c:pt>
                      <c:pt idx="3">
                        <c:v>10824.321599999999</c:v>
                      </c:pt>
                      <c:pt idx="4">
                        <c:v>0</c:v>
                      </c:pt>
                      <c:pt idx="5">
                        <c:v>2706.0803999999998</c:v>
                      </c:pt>
                      <c:pt idx="6">
                        <c:v>0</c:v>
                      </c:pt>
                    </c:numCache>
                  </c:numRef>
                </c:val>
                <c:extLst xmlns:c15="http://schemas.microsoft.com/office/drawing/2012/chart">
                  <c:ext xmlns:c16="http://schemas.microsoft.com/office/drawing/2014/chart" uri="{C3380CC4-5D6E-409C-BE32-E72D297353CC}">
                    <c16:uniqueId val="{00000017-80A4-499B-AF3A-BFA1D5CD3E54}"/>
                  </c:ext>
                </c:extLst>
              </c15:ser>
            </c15:filteredPieSeries>
          </c:ext>
        </c:extLst>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75000"/>
          <a:alpha val="95000"/>
        </a:schemeClr>
      </a:solidFill>
      <a:round/>
    </a:ln>
    <a:effectLst/>
  </c:spPr>
  <c:txPr>
    <a:bodyPr rot="0"/>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n-US" sz="1400"/>
              <a:t>Initiative Funding &amp; Direct Expenses</a:t>
            </a:r>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'DB Data'!$A$3</c:f>
              <c:strCache>
                <c:ptCount val="1"/>
                <c:pt idx="0">
                  <c:v>Total Funding</c:v>
                </c:pt>
              </c:strCache>
            </c:strRef>
          </c:tx>
          <c:spPr>
            <a:solidFill>
              <a:srgbClr val="A7B5DB"/>
            </a:solidFill>
            <a:ln>
              <a:noFill/>
            </a:ln>
            <a:effectLst/>
          </c:spPr>
          <c:invertIfNegative val="1"/>
          <c:dLbls>
            <c:dLbl>
              <c:idx val="0"/>
              <c:layout>
                <c:manualLayout>
                  <c:x val="-1.4227748790485757E-2"/>
                  <c:y val="1.818762058288570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D7-47B5-BC8F-D807E40ECC6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40404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multiLvlStrRef>
              <c:f>'DB Data'!$B$1:$G$2</c:f>
              <c:multiLvlStrCache>
                <c:ptCount val="6"/>
                <c:lvl>
                  <c:pt idx="0">
                    <c:v>2022-23</c:v>
                  </c:pt>
                  <c:pt idx="1">
                    <c:v>2023-24</c:v>
                  </c:pt>
                  <c:pt idx="2">
                    <c:v>2024-25</c:v>
                  </c:pt>
                  <c:pt idx="3">
                    <c:v>2025-26</c:v>
                  </c:pt>
                  <c:pt idx="4">
                    <c:v>2026-27</c:v>
                  </c:pt>
                  <c:pt idx="5">
                    <c:v>2027-28</c:v>
                  </c:pt>
                </c:lvl>
                <c:lvl>
                  <c:pt idx="0">
                    <c:v>Year 0</c:v>
                  </c:pt>
                  <c:pt idx="1">
                    <c:v>Year 1</c:v>
                  </c:pt>
                  <c:pt idx="2">
                    <c:v>Year 2</c:v>
                  </c:pt>
                  <c:pt idx="3">
                    <c:v>Year 3</c:v>
                  </c:pt>
                  <c:pt idx="4">
                    <c:v>Year 4</c:v>
                  </c:pt>
                  <c:pt idx="5">
                    <c:v>Year 5</c:v>
                  </c:pt>
                </c:lvl>
              </c:multiLvlStrCache>
            </c:multiLvlStrRef>
          </c:cat>
          <c:val>
            <c:numRef>
              <c:f>'DB Data'!$B$3:$G$3</c:f>
              <c:numCache>
                <c:formatCode>_("$"* #,##0_);_("$"* \(#,##0\);_("$"* "-"??_);_(@_)</c:formatCode>
                <c:ptCount val="6"/>
                <c:pt idx="0">
                  <c:v>81550</c:v>
                </c:pt>
                <c:pt idx="1">
                  <c:v>234176.5</c:v>
                </c:pt>
                <c:pt idx="2">
                  <c:v>355712.76</c:v>
                </c:pt>
                <c:pt idx="3">
                  <c:v>354204.70019999996</c:v>
                </c:pt>
                <c:pt idx="4">
                  <c:v>361288.79420400009</c:v>
                </c:pt>
                <c:pt idx="5">
                  <c:v>368514.57008808007</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73D7-47B5-BC8F-D807E40ECC6C}"/>
            </c:ext>
          </c:extLst>
        </c:ser>
        <c:ser>
          <c:idx val="1"/>
          <c:order val="1"/>
          <c:tx>
            <c:strRef>
              <c:f>'DB Data'!$A$4</c:f>
              <c:strCache>
                <c:ptCount val="1"/>
                <c:pt idx="0">
                  <c:v>Direct Expenses</c:v>
                </c:pt>
              </c:strCache>
            </c:strRef>
          </c:tx>
          <c:spPr>
            <a:solidFill>
              <a:srgbClr val="4472C4"/>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40404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multiLvlStrRef>
              <c:f>'DB Data'!$B$1:$G$2</c:f>
              <c:multiLvlStrCache>
                <c:ptCount val="6"/>
                <c:lvl>
                  <c:pt idx="0">
                    <c:v>2022-23</c:v>
                  </c:pt>
                  <c:pt idx="1">
                    <c:v>2023-24</c:v>
                  </c:pt>
                  <c:pt idx="2">
                    <c:v>2024-25</c:v>
                  </c:pt>
                  <c:pt idx="3">
                    <c:v>2025-26</c:v>
                  </c:pt>
                  <c:pt idx="4">
                    <c:v>2026-27</c:v>
                  </c:pt>
                  <c:pt idx="5">
                    <c:v>2027-28</c:v>
                  </c:pt>
                </c:lvl>
                <c:lvl>
                  <c:pt idx="0">
                    <c:v>Year 0</c:v>
                  </c:pt>
                  <c:pt idx="1">
                    <c:v>Year 1</c:v>
                  </c:pt>
                  <c:pt idx="2">
                    <c:v>Year 2</c:v>
                  </c:pt>
                  <c:pt idx="3">
                    <c:v>Year 3</c:v>
                  </c:pt>
                  <c:pt idx="4">
                    <c:v>Year 4</c:v>
                  </c:pt>
                  <c:pt idx="5">
                    <c:v>Year 5</c:v>
                  </c:pt>
                </c:lvl>
              </c:multiLvlStrCache>
            </c:multiLvlStrRef>
          </c:cat>
          <c:val>
            <c:numRef>
              <c:f>'DB Data'!$B$4:$G$4</c:f>
              <c:numCache>
                <c:formatCode>_("$"* #,##0_);_("$"* \(#,##0\);_("$"* "-"??_);_(@_)</c:formatCode>
                <c:ptCount val="6"/>
                <c:pt idx="0">
                  <c:v>81550</c:v>
                </c:pt>
                <c:pt idx="1">
                  <c:v>237176.5</c:v>
                </c:pt>
                <c:pt idx="2">
                  <c:v>386272.76</c:v>
                </c:pt>
                <c:pt idx="3">
                  <c:v>383335.90019999997</c:v>
                </c:pt>
                <c:pt idx="4">
                  <c:v>391002.61820400011</c:v>
                </c:pt>
                <c:pt idx="5">
                  <c:v>398822.6705680801</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73D7-47B5-BC8F-D807E40ECC6C}"/>
            </c:ext>
          </c:extLst>
        </c:ser>
        <c:dLbls>
          <c:showLegendKey val="0"/>
          <c:showVal val="0"/>
          <c:showCatName val="0"/>
          <c:showSerName val="0"/>
          <c:showPercent val="0"/>
          <c:showBubbleSize val="0"/>
        </c:dLbls>
        <c:gapWidth val="200"/>
        <c:overlap val="-24"/>
        <c:axId val="640520319"/>
        <c:axId val="640528639"/>
      </c:barChart>
      <c:lineChart>
        <c:grouping val="standard"/>
        <c:varyColors val="0"/>
        <c:ser>
          <c:idx val="2"/>
          <c:order val="2"/>
          <c:tx>
            <c:strRef>
              <c:f>'DB Data'!$A$5</c:f>
              <c:strCache>
                <c:ptCount val="1"/>
                <c:pt idx="0">
                  <c:v>Initiative Surplus (Deficit)</c:v>
                </c:pt>
              </c:strCache>
            </c:strRef>
          </c:tx>
          <c:spPr>
            <a:ln w="22225" cap="rnd">
              <a:solidFill>
                <a:schemeClr val="accent1">
                  <a:shade val="65000"/>
                </a:schemeClr>
              </a:solidFill>
              <a:round/>
            </a:ln>
            <a:effectLst/>
          </c:spPr>
          <c:marker>
            <c:symbol val="circle"/>
            <c:size val="6"/>
            <c:spPr>
              <a:solidFill>
                <a:schemeClr val="lt1"/>
              </a:solidFill>
              <a:ln w="15875">
                <a:solidFill>
                  <a:schemeClr val="accent1">
                    <a:shade val="65000"/>
                  </a:schemeClr>
                </a:solidFill>
                <a:round/>
              </a:ln>
              <a:effectLst/>
            </c:spPr>
          </c:marker>
          <c:dLbls>
            <c:numFmt formatCode="&quot;$&quot;#,##0_);[Red]\(&quot;$&quot;#,##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'DB Data'!$B$5:$G$5</c:f>
              <c:numCache>
                <c:formatCode>_("$"* #,##0_);_("$"* \(#,##0\);_("$"* "-"??_);_(@_)</c:formatCode>
                <c:ptCount val="6"/>
                <c:pt idx="0">
                  <c:v>0</c:v>
                </c:pt>
                <c:pt idx="1">
                  <c:v>-3000</c:v>
                </c:pt>
                <c:pt idx="2">
                  <c:v>-30560</c:v>
                </c:pt>
                <c:pt idx="3">
                  <c:v>-29131.200000000012</c:v>
                </c:pt>
                <c:pt idx="4">
                  <c:v>-29713.824000000022</c:v>
                </c:pt>
                <c:pt idx="5">
                  <c:v>-30308.100480000023</c:v>
                </c:pt>
              </c:numCache>
            </c:numRef>
          </c:val>
          <c:smooth val="0"/>
          <c:extLst>
            <c:ext xmlns:c16="http://schemas.microsoft.com/office/drawing/2014/chart" uri="{C3380CC4-5D6E-409C-BE32-E72D297353CC}">
              <c16:uniqueId val="{00000003-73D7-47B5-BC8F-D807E40ECC6C}"/>
            </c:ext>
          </c:extLst>
        </c:ser>
        <c:dLbls>
          <c:showLegendKey val="0"/>
          <c:showVal val="0"/>
          <c:showCatName val="0"/>
          <c:showSerName val="0"/>
          <c:showPercent val="0"/>
          <c:showBubbleSize val="0"/>
        </c:dLbls>
        <c:marker val="1"/>
        <c:smooth val="0"/>
        <c:axId val="640520319"/>
        <c:axId val="640528639"/>
      </c:lineChart>
      <c:catAx>
        <c:axId val="640520319"/>
        <c:scaling>
          <c:orientation val="minMax"/>
        </c:scaling>
        <c:delete val="0"/>
        <c:axPos val="b"/>
        <c:numFmt formatCode="General" sourceLinked="1"/>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40528639"/>
        <c:crosses val="autoZero"/>
        <c:auto val="1"/>
        <c:lblAlgn val="ctr"/>
        <c:lblOffset val="100"/>
        <c:noMultiLvlLbl val="0"/>
      </c:catAx>
      <c:valAx>
        <c:axId val="640528639"/>
        <c:scaling>
          <c:orientation val="minMax"/>
        </c:scaling>
        <c:delete val="0"/>
        <c:axPos val="l"/>
        <c:numFmt formatCode="_(&quot;$&quot;* #,##0_);_(&quot;$&quot;* \(#,##0\);_(&quot;$&quot;* &quot;-&quot;??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40520319"/>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n-US" sz="1400"/>
              <a:t>Initiative Total Revenue &amp; Total Expenses</a:t>
            </a:r>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'DB Data'!$A$51</c:f>
              <c:strCache>
                <c:ptCount val="1"/>
                <c:pt idx="0">
                  <c:v>Total Revenue (Earned &amp; Funded)</c:v>
                </c:pt>
              </c:strCache>
            </c:strRef>
          </c:tx>
          <c:spPr>
            <a:solidFill>
              <a:srgbClr val="A7B5DB"/>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40404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multiLvlStrRef>
              <c:f>'DB Data'!$B$49:$G$50</c:f>
              <c:multiLvlStrCache>
                <c:ptCount val="6"/>
                <c:lvl>
                  <c:pt idx="0">
                    <c:v>2022-23</c:v>
                  </c:pt>
                  <c:pt idx="1">
                    <c:v>2023-24</c:v>
                  </c:pt>
                  <c:pt idx="2">
                    <c:v>2024-25</c:v>
                  </c:pt>
                  <c:pt idx="3">
                    <c:v>2025-26</c:v>
                  </c:pt>
                  <c:pt idx="4">
                    <c:v>2026-27</c:v>
                  </c:pt>
                  <c:pt idx="5">
                    <c:v>2027-28</c:v>
                  </c:pt>
                </c:lvl>
                <c:lvl>
                  <c:pt idx="0">
                    <c:v>Year 0</c:v>
                  </c:pt>
                  <c:pt idx="1">
                    <c:v>Year 1</c:v>
                  </c:pt>
                  <c:pt idx="2">
                    <c:v>Year 2</c:v>
                  </c:pt>
                  <c:pt idx="3">
                    <c:v>Year 3</c:v>
                  </c:pt>
                  <c:pt idx="4">
                    <c:v>Year 4</c:v>
                  </c:pt>
                  <c:pt idx="5">
                    <c:v>Year 5</c:v>
                  </c:pt>
                </c:lvl>
              </c:multiLvlStrCache>
            </c:multiLvlStrRef>
          </c:cat>
          <c:val>
            <c:numRef>
              <c:f>'DB Data'!$B$51:$G$51</c:f>
              <c:numCache>
                <c:formatCode>_("$"* #,##0_);_("$"* \(#,##0\);_("$"* "-"??_);_(@_)</c:formatCode>
                <c:ptCount val="6"/>
                <c:pt idx="0">
                  <c:v>81550</c:v>
                </c:pt>
                <c:pt idx="1">
                  <c:v>533202.75999999361</c:v>
                </c:pt>
                <c:pt idx="2">
                  <c:v>1035226.2000000048</c:v>
                </c:pt>
                <c:pt idx="3">
                  <c:v>1077724.9492000053</c:v>
                </c:pt>
                <c:pt idx="4">
                  <c:v>1139485.6392039931</c:v>
                </c:pt>
                <c:pt idx="5">
                  <c:v>1165110.0810880857</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6DAE-41E0-898E-9ED26D7ECD1F}"/>
            </c:ext>
          </c:extLst>
        </c:ser>
        <c:ser>
          <c:idx val="1"/>
          <c:order val="1"/>
          <c:tx>
            <c:strRef>
              <c:f>'DB Data'!$A$54</c:f>
              <c:strCache>
                <c:ptCount val="1"/>
                <c:pt idx="0">
                  <c:v>Total Expenses (Direct &amp; Indirect)</c:v>
                </c:pt>
              </c:strCache>
            </c:strRef>
          </c:tx>
          <c:spPr>
            <a:solidFill>
              <a:srgbClr val="4472C4"/>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40404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multiLvlStrRef>
              <c:f>'DB Data'!$B$49:$G$50</c:f>
              <c:multiLvlStrCache>
                <c:ptCount val="6"/>
                <c:lvl>
                  <c:pt idx="0">
                    <c:v>2022-23</c:v>
                  </c:pt>
                  <c:pt idx="1">
                    <c:v>2023-24</c:v>
                  </c:pt>
                  <c:pt idx="2">
                    <c:v>2024-25</c:v>
                  </c:pt>
                  <c:pt idx="3">
                    <c:v>2025-26</c:v>
                  </c:pt>
                  <c:pt idx="4">
                    <c:v>2026-27</c:v>
                  </c:pt>
                  <c:pt idx="5">
                    <c:v>2027-28</c:v>
                  </c:pt>
                </c:lvl>
                <c:lvl>
                  <c:pt idx="0">
                    <c:v>Year 0</c:v>
                  </c:pt>
                  <c:pt idx="1">
                    <c:v>Year 1</c:v>
                  </c:pt>
                  <c:pt idx="2">
                    <c:v>Year 2</c:v>
                  </c:pt>
                  <c:pt idx="3">
                    <c:v>Year 3</c:v>
                  </c:pt>
                  <c:pt idx="4">
                    <c:v>Year 4</c:v>
                  </c:pt>
                  <c:pt idx="5">
                    <c:v>Year 5</c:v>
                  </c:pt>
                </c:lvl>
              </c:multiLvlStrCache>
            </c:multiLvlStrRef>
          </c:cat>
          <c:val>
            <c:numRef>
              <c:f>'DB Data'!$B$54:$G$54</c:f>
              <c:numCache>
                <c:formatCode>_("$"* #,##0_);_("$"* \(#,##0\);_("$"* "-"??_);_(@_)</c:formatCode>
                <c:ptCount val="6"/>
                <c:pt idx="0">
                  <c:v>81550</c:v>
                </c:pt>
                <c:pt idx="1">
                  <c:v>371738.31699999713</c:v>
                </c:pt>
                <c:pt idx="2">
                  <c:v>692053.80800000217</c:v>
                </c:pt>
                <c:pt idx="3">
                  <c:v>708920.01225000224</c:v>
                </c:pt>
                <c:pt idx="4">
                  <c:v>741191.19845399703</c:v>
                </c:pt>
                <c:pt idx="5">
                  <c:v>757290.65051808266</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6DAE-41E0-898E-9ED26D7ECD1F}"/>
            </c:ext>
          </c:extLst>
        </c:ser>
        <c:dLbls>
          <c:showLegendKey val="0"/>
          <c:showVal val="0"/>
          <c:showCatName val="0"/>
          <c:showSerName val="0"/>
          <c:showPercent val="0"/>
          <c:showBubbleSize val="0"/>
        </c:dLbls>
        <c:gapWidth val="150"/>
        <c:axId val="640520319"/>
        <c:axId val="640528639"/>
      </c:barChart>
      <c:lineChart>
        <c:grouping val="standard"/>
        <c:varyColors val="0"/>
        <c:ser>
          <c:idx val="2"/>
          <c:order val="2"/>
          <c:tx>
            <c:strRef>
              <c:f>'DB Data'!$A$55</c:f>
              <c:strCache>
                <c:ptCount val="1"/>
                <c:pt idx="0">
                  <c:v>Net Revenue</c:v>
                </c:pt>
              </c:strCache>
            </c:strRef>
          </c:tx>
          <c:spPr>
            <a:ln w="22225" cap="rnd">
              <a:solidFill>
                <a:schemeClr val="accent1">
                  <a:shade val="65000"/>
                </a:schemeClr>
              </a:solidFill>
              <a:round/>
            </a:ln>
            <a:effectLst/>
          </c:spPr>
          <c:marker>
            <c:symbol val="circle"/>
            <c:size val="6"/>
            <c:spPr>
              <a:solidFill>
                <a:schemeClr val="lt1"/>
              </a:solidFill>
              <a:ln w="15875">
                <a:solidFill>
                  <a:schemeClr val="accent1">
                    <a:shade val="65000"/>
                  </a:schemeClr>
                </a:solidFill>
                <a:round/>
              </a:ln>
              <a:effectLst/>
            </c:spPr>
          </c:marker>
          <c:dLbls>
            <c:numFmt formatCode="&quot;$&quot;#,##0;[Red]&quot;$&quot;#,##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multiLvlStrRef>
              <c:f>'DB Data'!$B$49:$G$50</c:f>
              <c:multiLvlStrCache>
                <c:ptCount val="6"/>
                <c:lvl>
                  <c:pt idx="0">
                    <c:v>2022-23</c:v>
                  </c:pt>
                  <c:pt idx="1">
                    <c:v>2023-24</c:v>
                  </c:pt>
                  <c:pt idx="2">
                    <c:v>2024-25</c:v>
                  </c:pt>
                  <c:pt idx="3">
                    <c:v>2025-26</c:v>
                  </c:pt>
                  <c:pt idx="4">
                    <c:v>2026-27</c:v>
                  </c:pt>
                  <c:pt idx="5">
                    <c:v>2027-28</c:v>
                  </c:pt>
                </c:lvl>
                <c:lvl>
                  <c:pt idx="0">
                    <c:v>Year 0</c:v>
                  </c:pt>
                  <c:pt idx="1">
                    <c:v>Year 1</c:v>
                  </c:pt>
                  <c:pt idx="2">
                    <c:v>Year 2</c:v>
                  </c:pt>
                  <c:pt idx="3">
                    <c:v>Year 3</c:v>
                  </c:pt>
                  <c:pt idx="4">
                    <c:v>Year 4</c:v>
                  </c:pt>
                  <c:pt idx="5">
                    <c:v>Year 5</c:v>
                  </c:pt>
                </c:lvl>
              </c:multiLvlStrCache>
            </c:multiLvlStrRef>
          </c:cat>
          <c:val>
            <c:numRef>
              <c:f>'DB Data'!$B$55:$G$55</c:f>
              <c:numCache>
                <c:formatCode>_("$"* #,##0_);_("$"* \(#,##0\);_("$"* "-"??_);_(@_)</c:formatCode>
                <c:ptCount val="6"/>
                <c:pt idx="0">
                  <c:v>0</c:v>
                </c:pt>
                <c:pt idx="1">
                  <c:v>161464.44299999648</c:v>
                </c:pt>
                <c:pt idx="2">
                  <c:v>343172.39200000267</c:v>
                </c:pt>
                <c:pt idx="3">
                  <c:v>368804.93695000303</c:v>
                </c:pt>
                <c:pt idx="4">
                  <c:v>398294.44074999611</c:v>
                </c:pt>
                <c:pt idx="5">
                  <c:v>407819.43057000299</c:v>
                </c:pt>
              </c:numCache>
            </c:numRef>
          </c:val>
          <c:smooth val="0"/>
          <c:extLst>
            <c:ext xmlns:c16="http://schemas.microsoft.com/office/drawing/2014/chart" uri="{C3380CC4-5D6E-409C-BE32-E72D297353CC}">
              <c16:uniqueId val="{00000003-6DAE-41E0-898E-9ED26D7ECD1F}"/>
            </c:ext>
          </c:extLst>
        </c:ser>
        <c:dLbls>
          <c:showLegendKey val="0"/>
          <c:showVal val="0"/>
          <c:showCatName val="0"/>
          <c:showSerName val="0"/>
          <c:showPercent val="0"/>
          <c:showBubbleSize val="0"/>
        </c:dLbls>
        <c:marker val="1"/>
        <c:smooth val="0"/>
        <c:axId val="640520319"/>
        <c:axId val="640528639"/>
      </c:lineChart>
      <c:catAx>
        <c:axId val="640520319"/>
        <c:scaling>
          <c:orientation val="minMax"/>
        </c:scaling>
        <c:delete val="0"/>
        <c:axPos val="b"/>
        <c:numFmt formatCode="General" sourceLinked="1"/>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40528639"/>
        <c:crosses val="autoZero"/>
        <c:auto val="1"/>
        <c:lblAlgn val="ctr"/>
        <c:lblOffset val="100"/>
        <c:noMultiLvlLbl val="0"/>
      </c:catAx>
      <c:valAx>
        <c:axId val="640528639"/>
        <c:scaling>
          <c:orientation val="minMax"/>
        </c:scaling>
        <c:delete val="0"/>
        <c:axPos val="l"/>
        <c:numFmt formatCode="_(&quot;$&quot;* #,##0_);_(&quot;$&quot;* \(#,##0\);_(&quot;$&quot;* &quot;-&quot;??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40520319"/>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n-US" sz="1400"/>
              <a:t>Projected</a:t>
            </a:r>
            <a:r>
              <a:rPr lang="en-US" sz="1400" baseline="0"/>
              <a:t> Gross Earned Revenue: From Changes in Retention and Average Credit Load</a:t>
            </a:r>
            <a:endParaRPr lang="en-US" sz="1400"/>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3.7838977275012647E-2"/>
          <c:y val="0.14413213905309238"/>
          <c:w val="0.94481815814060666"/>
          <c:h val="0.61853602653257989"/>
        </c:manualLayout>
      </c:layout>
      <c:barChart>
        <c:barDir val="col"/>
        <c:grouping val="stacked"/>
        <c:varyColors val="0"/>
        <c:ser>
          <c:idx val="2"/>
          <c:order val="0"/>
          <c:tx>
            <c:strRef>
              <c:f>'DB Data'!$A$46</c:f>
              <c:strCache>
                <c:ptCount val="1"/>
                <c:pt idx="0">
                  <c:v>Gross Earned Revenue from change in annual course load average</c:v>
                </c:pt>
              </c:strCache>
            </c:strRef>
          </c:tx>
          <c:spPr>
            <a:solidFill>
              <a:srgbClr val="4472C4"/>
            </a:solidFill>
            <a:ln>
              <a:noFill/>
            </a:ln>
            <a:effectLst/>
          </c:spPr>
          <c:invertIfNegative val="0"/>
          <c:dLbls>
            <c:numFmt formatCode="&quot;$&quot;#,##0\k;[Red]\(&quot;$&quot;#,##0\k\)"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multiLvlStrRef>
              <c:f>'DB Data'!$B$42:$G$43</c:f>
              <c:multiLvlStrCache>
                <c:ptCount val="6"/>
                <c:lvl>
                  <c:pt idx="0">
                    <c:v>2022-23</c:v>
                  </c:pt>
                  <c:pt idx="1">
                    <c:v>2023-24</c:v>
                  </c:pt>
                  <c:pt idx="2">
                    <c:v>2024-25</c:v>
                  </c:pt>
                  <c:pt idx="3">
                    <c:v>2025-26</c:v>
                  </c:pt>
                  <c:pt idx="4">
                    <c:v>2026-27</c:v>
                  </c:pt>
                  <c:pt idx="5">
                    <c:v>2027-28</c:v>
                  </c:pt>
                </c:lvl>
                <c:lvl>
                  <c:pt idx="0">
                    <c:v>Year 0</c:v>
                  </c:pt>
                  <c:pt idx="1">
                    <c:v>Year 1</c:v>
                  </c:pt>
                  <c:pt idx="2">
                    <c:v>Year 2</c:v>
                  </c:pt>
                  <c:pt idx="3">
                    <c:v>Year 3</c:v>
                  </c:pt>
                  <c:pt idx="4">
                    <c:v>Year 4</c:v>
                  </c:pt>
                  <c:pt idx="5">
                    <c:v>Year 5</c:v>
                  </c:pt>
                </c:lvl>
              </c:multiLvlStrCache>
            </c:multiLvlStrRef>
          </c:cat>
          <c:val>
            <c:numRef>
              <c:f>'DB Data'!$B$46:$G$46</c:f>
              <c:numCache>
                <c:formatCode>_("$"* #,##0_);_("$"* \(#,##0\);_("$"* "-"??_);_(@_)</c:formatCode>
                <c:ptCount val="6"/>
                <c:pt idx="1">
                  <c:v>299026.25999999361</c:v>
                </c:pt>
                <c:pt idx="2">
                  <c:v>312828.00000000448</c:v>
                </c:pt>
                <c:pt idx="3">
                  <c:v>339025.47500000481</c:v>
                </c:pt>
                <c:pt idx="4">
                  <c:v>349876.80999999255</c:v>
                </c:pt>
                <c:pt idx="5">
                  <c:v>365174.04000000522</c:v>
                </c:pt>
              </c:numCache>
            </c:numRef>
          </c:val>
          <c:extLst>
            <c:ext xmlns:c16="http://schemas.microsoft.com/office/drawing/2014/chart" uri="{C3380CC4-5D6E-409C-BE32-E72D297353CC}">
              <c16:uniqueId val="{00000003-CD97-480E-8355-4DF5B3CB4318}"/>
            </c:ext>
          </c:extLst>
        </c:ser>
        <c:ser>
          <c:idx val="1"/>
          <c:order val="1"/>
          <c:tx>
            <c:strRef>
              <c:f>'DB Data'!$A$45</c:f>
              <c:strCache>
                <c:ptCount val="1"/>
                <c:pt idx="0">
                  <c:v>Gross Earned Revenue from change in student retention</c:v>
                </c:pt>
              </c:strCache>
            </c:strRef>
          </c:tx>
          <c:spPr>
            <a:solidFill>
              <a:srgbClr val="8FA2D4"/>
            </a:solidFill>
            <a:ln>
              <a:noFill/>
            </a:ln>
            <a:effectLst/>
          </c:spPr>
          <c:invertIfNegative val="1"/>
          <c:dLbls>
            <c:dLbl>
              <c:idx val="1"/>
              <c:delete val="1"/>
              <c:extLst>
                <c:ext xmlns:c15="http://schemas.microsoft.com/office/drawing/2012/chart" uri="{CE6537A1-D6FC-4f65-9D91-7224C49458BB}"/>
                <c:ext xmlns:c16="http://schemas.microsoft.com/office/drawing/2014/chart" uri="{C3380CC4-5D6E-409C-BE32-E72D297353CC}">
                  <c16:uniqueId val="{00000005-CD97-480E-8355-4DF5B3CB4318}"/>
                </c:ext>
              </c:extLst>
            </c:dLbl>
            <c:numFmt formatCode="&quot;$&quot;#,##0\k;[Red]\(&quot;$&quot;#,##0\k\)"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multiLvlStrRef>
              <c:f>'DB Data'!$B$42:$G$43</c:f>
              <c:multiLvlStrCache>
                <c:ptCount val="6"/>
                <c:lvl>
                  <c:pt idx="0">
                    <c:v>2022-23</c:v>
                  </c:pt>
                  <c:pt idx="1">
                    <c:v>2023-24</c:v>
                  </c:pt>
                  <c:pt idx="2">
                    <c:v>2024-25</c:v>
                  </c:pt>
                  <c:pt idx="3">
                    <c:v>2025-26</c:v>
                  </c:pt>
                  <c:pt idx="4">
                    <c:v>2026-27</c:v>
                  </c:pt>
                  <c:pt idx="5">
                    <c:v>2027-28</c:v>
                  </c:pt>
                </c:lvl>
                <c:lvl>
                  <c:pt idx="0">
                    <c:v>Year 0</c:v>
                  </c:pt>
                  <c:pt idx="1">
                    <c:v>Year 1</c:v>
                  </c:pt>
                  <c:pt idx="2">
                    <c:v>Year 2</c:v>
                  </c:pt>
                  <c:pt idx="3">
                    <c:v>Year 3</c:v>
                  </c:pt>
                  <c:pt idx="4">
                    <c:v>Year 4</c:v>
                  </c:pt>
                  <c:pt idx="5">
                    <c:v>Year 5</c:v>
                  </c:pt>
                </c:lvl>
              </c:multiLvlStrCache>
            </c:multiLvlStrRef>
          </c:cat>
          <c:val>
            <c:numRef>
              <c:f>'DB Data'!$B$45:$G$45</c:f>
              <c:numCache>
                <c:formatCode>_("$"* #,##0_);_("$"* \(#,##0\);_("$"* "-"??_);_(@_)</c:formatCode>
                <c:ptCount val="6"/>
                <c:pt idx="1">
                  <c:v>0</c:v>
                </c:pt>
                <c:pt idx="2">
                  <c:v>366685.44000000029</c:v>
                </c:pt>
                <c:pt idx="3">
                  <c:v>384494.77400000033</c:v>
                </c:pt>
                <c:pt idx="4">
                  <c:v>428320.03500000038</c:v>
                </c:pt>
                <c:pt idx="5">
                  <c:v>431421.47100000043</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CD97-480E-8355-4DF5B3CB4318}"/>
            </c:ext>
          </c:extLst>
        </c:ser>
        <c:ser>
          <c:idx val="0"/>
          <c:order val="2"/>
          <c:tx>
            <c:strRef>
              <c:f>'DB Data'!$A$44</c:f>
              <c:strCache>
                <c:ptCount val="1"/>
                <c:pt idx="0">
                  <c:v>Gross Earned Revenue</c:v>
                </c:pt>
              </c:strCache>
            </c:strRef>
          </c:tx>
          <c:spPr>
            <a:noFill/>
            <a:ln>
              <a:noFill/>
            </a:ln>
            <a:effectLst/>
          </c:spPr>
          <c:invertIfNegative val="1"/>
          <c:dLbls>
            <c:numFmt formatCode="&quot;$&quot;#,##0\k;[Red]\(&quot;$&quot;#,##0\k\)"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40404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multiLvlStrRef>
              <c:f>'DB Data'!$B$42:$G$43</c:f>
              <c:multiLvlStrCache>
                <c:ptCount val="6"/>
                <c:lvl>
                  <c:pt idx="0">
                    <c:v>2022-23</c:v>
                  </c:pt>
                  <c:pt idx="1">
                    <c:v>2023-24</c:v>
                  </c:pt>
                  <c:pt idx="2">
                    <c:v>2024-25</c:v>
                  </c:pt>
                  <c:pt idx="3">
                    <c:v>2025-26</c:v>
                  </c:pt>
                  <c:pt idx="4">
                    <c:v>2026-27</c:v>
                  </c:pt>
                  <c:pt idx="5">
                    <c:v>2027-28</c:v>
                  </c:pt>
                </c:lvl>
                <c:lvl>
                  <c:pt idx="0">
                    <c:v>Year 0</c:v>
                  </c:pt>
                  <c:pt idx="1">
                    <c:v>Year 1</c:v>
                  </c:pt>
                  <c:pt idx="2">
                    <c:v>Year 2</c:v>
                  </c:pt>
                  <c:pt idx="3">
                    <c:v>Year 3</c:v>
                  </c:pt>
                  <c:pt idx="4">
                    <c:v>Year 4</c:v>
                  </c:pt>
                  <c:pt idx="5">
                    <c:v>Year 5</c:v>
                  </c:pt>
                </c:lvl>
              </c:multiLvlStrCache>
            </c:multiLvlStrRef>
          </c:cat>
          <c:val>
            <c:numRef>
              <c:f>'DB Data'!$B$44:$G$44</c:f>
              <c:numCache>
                <c:formatCode>_("$"* #,##0_);_("$"* \(#,##0\);_("$"* "-"??_);_(@_)</c:formatCode>
                <c:ptCount val="6"/>
                <c:pt idx="1">
                  <c:v>299026.25999999361</c:v>
                </c:pt>
                <c:pt idx="2">
                  <c:v>679513.44000000483</c:v>
                </c:pt>
                <c:pt idx="3">
                  <c:v>723520.24900000519</c:v>
                </c:pt>
                <c:pt idx="4">
                  <c:v>778196.84499999299</c:v>
                </c:pt>
                <c:pt idx="5">
                  <c:v>796595.51100000564</c:v>
                </c:pt>
              </c:numCache>
            </c:numRef>
          </c:val>
          <c:extLst>
            <c:ext xmlns:c16="http://schemas.microsoft.com/office/drawing/2014/chart" uri="{C3380CC4-5D6E-409C-BE32-E72D297353CC}">
              <c16:uniqueId val="{00000001-CD97-480E-8355-4DF5B3CB4318}"/>
            </c:ext>
          </c:extLst>
        </c:ser>
        <c:dLbls>
          <c:showLegendKey val="0"/>
          <c:showVal val="0"/>
          <c:showCatName val="0"/>
          <c:showSerName val="0"/>
          <c:showPercent val="0"/>
          <c:showBubbleSize val="0"/>
        </c:dLbls>
        <c:gapWidth val="200"/>
        <c:overlap val="100"/>
        <c:axId val="640520319"/>
        <c:axId val="640528639"/>
      </c:barChart>
      <c:catAx>
        <c:axId val="640520319"/>
        <c:scaling>
          <c:orientation val="minMax"/>
        </c:scaling>
        <c:delete val="0"/>
        <c:axPos val="b"/>
        <c:numFmt formatCode="General" sourceLinked="1"/>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40528639"/>
        <c:crosses val="autoZero"/>
        <c:auto val="1"/>
        <c:lblAlgn val="ctr"/>
        <c:lblOffset val="100"/>
        <c:noMultiLvlLbl val="0"/>
      </c:catAx>
      <c:valAx>
        <c:axId val="640528639"/>
        <c:scaling>
          <c:orientation val="minMax"/>
        </c:scaling>
        <c:delete val="1"/>
        <c:axPos val="l"/>
        <c:numFmt formatCode="_(&quot;$&quot;* #,##0_);_(&quot;$&quot;* \(#,##0\);_(&quot;$&quot;* &quot;-&quot;??_);_(@_)" sourceLinked="1"/>
        <c:majorTickMark val="out"/>
        <c:minorTickMark val="none"/>
        <c:tickLblPos val="nextTo"/>
        <c:crossAx val="640520319"/>
        <c:crosses val="autoZero"/>
        <c:crossBetween val="between"/>
        <c:dispUnits>
          <c:builtInUnit val="thousands"/>
          <c:dispUnitsLbl>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dispUnitsLbl>
        </c:dispUnits>
      </c:valAx>
      <c:spPr>
        <a:solidFill>
          <a:schemeClr val="bg1"/>
        </a:solid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ROI Lever: Retention</a:t>
            </a:r>
            <a:r>
              <a:rPr lang="en-US" baseline="0"/>
              <a:t> Rate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8825995807127882E-2"/>
          <c:y val="0.20605555555555555"/>
          <c:w val="0.94234800838574428"/>
          <c:h val="0.49451924759405075"/>
        </c:manualLayout>
      </c:layout>
      <c:lineChart>
        <c:grouping val="standard"/>
        <c:varyColors val="0"/>
        <c:ser>
          <c:idx val="0"/>
          <c:order val="0"/>
          <c:spPr>
            <a:ln w="28575" cap="rnd">
              <a:solidFill>
                <a:srgbClr val="4472C4"/>
              </a:solidFill>
              <a:round/>
            </a:ln>
            <a:effectLst/>
          </c:spPr>
          <c:marker>
            <c:symbol val="circle"/>
            <c:size val="5"/>
            <c:spPr>
              <a:solidFill>
                <a:srgbClr val="4472C4"/>
              </a:solidFill>
              <a:ln w="9525">
                <a:solidFill>
                  <a:srgbClr val="4472C4"/>
                </a:solidFill>
              </a:ln>
              <a:effectLst/>
            </c:spPr>
          </c:marker>
          <c:dPt>
            <c:idx val="0"/>
            <c:marker>
              <c:symbol val="circle"/>
              <c:size val="5"/>
              <c:spPr>
                <a:solidFill>
                  <a:schemeClr val="tx1">
                    <a:lumMod val="65000"/>
                    <a:lumOff val="35000"/>
                  </a:schemeClr>
                </a:solidFill>
                <a:ln w="15875">
                  <a:solidFill>
                    <a:schemeClr val="tx1">
                      <a:lumMod val="65000"/>
                      <a:lumOff val="35000"/>
                    </a:schemeClr>
                  </a:solidFill>
                </a:ln>
                <a:effectLst/>
              </c:spPr>
            </c:marker>
            <c:bubble3D val="0"/>
            <c:extLst>
              <c:ext xmlns:c16="http://schemas.microsoft.com/office/drawing/2014/chart" uri="{C3380CC4-5D6E-409C-BE32-E72D297353CC}">
                <c16:uniqueId val="{00000001-2FC9-4120-81C7-57E4A09F38B9}"/>
              </c:ext>
            </c:extLst>
          </c:dPt>
          <c:dPt>
            <c:idx val="1"/>
            <c:marker>
              <c:symbol val="circle"/>
              <c:size val="5"/>
              <c:spPr>
                <a:solidFill>
                  <a:schemeClr val="tx1">
                    <a:lumMod val="65000"/>
                    <a:lumOff val="35000"/>
                  </a:schemeClr>
                </a:solidFill>
                <a:ln w="15875">
                  <a:solidFill>
                    <a:schemeClr val="tx1">
                      <a:lumMod val="65000"/>
                      <a:lumOff val="35000"/>
                    </a:schemeClr>
                  </a:solidFill>
                </a:ln>
                <a:effectLst/>
              </c:spPr>
            </c:marker>
            <c:bubble3D val="0"/>
            <c:extLst>
              <c:ext xmlns:c16="http://schemas.microsoft.com/office/drawing/2014/chart" uri="{C3380CC4-5D6E-409C-BE32-E72D297353CC}">
                <c16:uniqueId val="{00000002-969C-4C39-ACF3-8AA1F23750A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'Advising Activity &amp; ROI Levers'!$E$16:$J$17</c:f>
              <c:multiLvlStrCache>
                <c:ptCount val="6"/>
                <c:lvl>
                  <c:pt idx="0">
                    <c:v>2022-23</c:v>
                  </c:pt>
                  <c:pt idx="1">
                    <c:v>2023-24</c:v>
                  </c:pt>
                  <c:pt idx="2">
                    <c:v>2024-25</c:v>
                  </c:pt>
                  <c:pt idx="3">
                    <c:v>2025-26</c:v>
                  </c:pt>
                  <c:pt idx="4">
                    <c:v>2026-27</c:v>
                  </c:pt>
                  <c:pt idx="5">
                    <c:v>2027-28</c:v>
                  </c:pt>
                </c:lvl>
                <c:lvl>
                  <c:pt idx="0">
                    <c:v>Year 0</c:v>
                  </c:pt>
                  <c:pt idx="1">
                    <c:v>Year 1</c:v>
                  </c:pt>
                  <c:pt idx="2">
                    <c:v>Year 2 (p)</c:v>
                  </c:pt>
                  <c:pt idx="3">
                    <c:v>Year 3 (p)</c:v>
                  </c:pt>
                  <c:pt idx="4">
                    <c:v>Year 4 (p)</c:v>
                  </c:pt>
                  <c:pt idx="5">
                    <c:v>Year 5 (p)</c:v>
                  </c:pt>
                </c:lvl>
              </c:multiLvlStrCache>
            </c:multiLvlStrRef>
          </c:cat>
          <c:val>
            <c:numRef>
              <c:f>'Advising Activity &amp; ROI Levers'!$E$18:$J$18</c:f>
              <c:numCache>
                <c:formatCode>0.0%</c:formatCode>
                <c:ptCount val="6"/>
                <c:pt idx="0">
                  <c:v>0.66200000000000003</c:v>
                </c:pt>
                <c:pt idx="1">
                  <c:v>0.66200000000000003</c:v>
                </c:pt>
                <c:pt idx="2">
                  <c:v>0.66700000000000004</c:v>
                </c:pt>
                <c:pt idx="3">
                  <c:v>0.67200000000000004</c:v>
                </c:pt>
                <c:pt idx="4">
                  <c:v>0.67700000000000005</c:v>
                </c:pt>
                <c:pt idx="5">
                  <c:v>0.68200000000000005</c:v>
                </c:pt>
              </c:numCache>
            </c:numRef>
          </c:val>
          <c:smooth val="0"/>
          <c:extLst>
            <c:ext xmlns:c16="http://schemas.microsoft.com/office/drawing/2014/chart" uri="{C3380CC4-5D6E-409C-BE32-E72D297353CC}">
              <c16:uniqueId val="{00000002-2FC9-4120-81C7-57E4A09F38B9}"/>
            </c:ext>
          </c:extLst>
        </c:ser>
        <c:dLbls>
          <c:dLblPos val="t"/>
          <c:showLegendKey val="0"/>
          <c:showVal val="1"/>
          <c:showCatName val="0"/>
          <c:showSerName val="0"/>
          <c:showPercent val="0"/>
          <c:showBubbleSize val="0"/>
        </c:dLbls>
        <c:marker val="1"/>
        <c:smooth val="0"/>
        <c:axId val="870190824"/>
        <c:axId val="870183936"/>
      </c:lineChart>
      <c:catAx>
        <c:axId val="87019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183936"/>
        <c:crosses val="autoZero"/>
        <c:auto val="1"/>
        <c:lblAlgn val="ctr"/>
        <c:lblOffset val="100"/>
        <c:noMultiLvlLbl val="0"/>
      </c:catAx>
      <c:valAx>
        <c:axId val="870183936"/>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870190824"/>
        <c:crosses val="autoZero"/>
        <c:crossBetween val="between"/>
        <c:maj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ROI Lever: Annual Student Credit Hour Load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8825995807127882E-2"/>
          <c:y val="0.20605555555555555"/>
          <c:w val="0.94234800838574428"/>
          <c:h val="0.50007480314960617"/>
        </c:manualLayout>
      </c:layout>
      <c:lineChart>
        <c:grouping val="standard"/>
        <c:varyColors val="0"/>
        <c:ser>
          <c:idx val="0"/>
          <c:order val="0"/>
          <c:spPr>
            <a:ln w="28575" cap="rnd">
              <a:solidFill>
                <a:srgbClr val="8FA2D4"/>
              </a:solidFill>
              <a:round/>
            </a:ln>
            <a:effectLst/>
          </c:spPr>
          <c:marker>
            <c:symbol val="circle"/>
            <c:size val="5"/>
            <c:spPr>
              <a:solidFill>
                <a:srgbClr val="8FA2D4"/>
              </a:solidFill>
              <a:ln w="9525">
                <a:solidFill>
                  <a:srgbClr val="8FA2D4"/>
                </a:solidFill>
              </a:ln>
              <a:effectLst/>
            </c:spPr>
          </c:marker>
          <c:dPt>
            <c:idx val="0"/>
            <c:marker>
              <c:symbol val="circle"/>
              <c:size val="5"/>
              <c:spPr>
                <a:solidFill>
                  <a:schemeClr val="tx1">
                    <a:lumMod val="65000"/>
                    <a:lumOff val="35000"/>
                  </a:schemeClr>
                </a:solidFill>
                <a:ln w="15875">
                  <a:solidFill>
                    <a:schemeClr val="tx1">
                      <a:lumMod val="65000"/>
                      <a:lumOff val="35000"/>
                    </a:schemeClr>
                  </a:solidFill>
                </a:ln>
                <a:effectLst/>
              </c:spPr>
            </c:marker>
            <c:bubble3D val="0"/>
            <c:extLst>
              <c:ext xmlns:c16="http://schemas.microsoft.com/office/drawing/2014/chart" uri="{C3380CC4-5D6E-409C-BE32-E72D297353CC}">
                <c16:uniqueId val="{00000000-8297-4BBD-8B13-A6AE34E335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'Advising Activity &amp; ROI Levers'!$E$20:$J$21</c:f>
              <c:multiLvlStrCache>
                <c:ptCount val="6"/>
                <c:lvl>
                  <c:pt idx="0">
                    <c:v>2022-23</c:v>
                  </c:pt>
                  <c:pt idx="1">
                    <c:v>2023-24</c:v>
                  </c:pt>
                  <c:pt idx="2">
                    <c:v>2024-25</c:v>
                  </c:pt>
                  <c:pt idx="3">
                    <c:v>2025-26</c:v>
                  </c:pt>
                  <c:pt idx="4">
                    <c:v>2026-27</c:v>
                  </c:pt>
                  <c:pt idx="5">
                    <c:v>2027-28</c:v>
                  </c:pt>
                </c:lvl>
                <c:lvl>
                  <c:pt idx="0">
                    <c:v>Year 0</c:v>
                  </c:pt>
                  <c:pt idx="1">
                    <c:v>Year 1 (p)</c:v>
                  </c:pt>
                  <c:pt idx="2">
                    <c:v>Year 2 (p)</c:v>
                  </c:pt>
                  <c:pt idx="3">
                    <c:v>Year 3 (p)</c:v>
                  </c:pt>
                  <c:pt idx="4">
                    <c:v>Year 4 (p)</c:v>
                  </c:pt>
                  <c:pt idx="5">
                    <c:v>Year 5 (p)</c:v>
                  </c:pt>
                </c:lvl>
              </c:multiLvlStrCache>
            </c:multiLvlStrRef>
          </c:cat>
          <c:val>
            <c:numRef>
              <c:f>'Advising Activity &amp; ROI Levers'!$E$22:$J$22</c:f>
              <c:numCache>
                <c:formatCode>0.0</c:formatCode>
                <c:ptCount val="6"/>
                <c:pt idx="0">
                  <c:v>23.8</c:v>
                </c:pt>
                <c:pt idx="1">
                  <c:v>23.9</c:v>
                </c:pt>
                <c:pt idx="2">
                  <c:v>24</c:v>
                </c:pt>
                <c:pt idx="3">
                  <c:v>24.1</c:v>
                </c:pt>
                <c:pt idx="4">
                  <c:v>24.2</c:v>
                </c:pt>
                <c:pt idx="5">
                  <c:v>24.3</c:v>
                </c:pt>
              </c:numCache>
            </c:numRef>
          </c:val>
          <c:smooth val="0"/>
          <c:extLst>
            <c:ext xmlns:c16="http://schemas.microsoft.com/office/drawing/2014/chart" uri="{C3380CC4-5D6E-409C-BE32-E72D297353CC}">
              <c16:uniqueId val="{00000001-8297-4BBD-8B13-A6AE34E335CE}"/>
            </c:ext>
          </c:extLst>
        </c:ser>
        <c:dLbls>
          <c:dLblPos val="t"/>
          <c:showLegendKey val="0"/>
          <c:showVal val="1"/>
          <c:showCatName val="0"/>
          <c:showSerName val="0"/>
          <c:showPercent val="0"/>
          <c:showBubbleSize val="0"/>
        </c:dLbls>
        <c:marker val="1"/>
        <c:smooth val="0"/>
        <c:axId val="870190824"/>
        <c:axId val="870183936"/>
      </c:lineChart>
      <c:catAx>
        <c:axId val="87019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183936"/>
        <c:crosses val="autoZero"/>
        <c:auto val="1"/>
        <c:lblAlgn val="ctr"/>
        <c:lblOffset val="100"/>
        <c:noMultiLvlLbl val="0"/>
      </c:catAx>
      <c:valAx>
        <c:axId val="870183936"/>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870190824"/>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withinLinearReversed" id="21">
  <a:schemeClr val="accent1"/>
</cs:colorStyle>
</file>

<file path=xl/charts/colors5.xml><?xml version="1.0" encoding="utf-8"?>
<cs:colorStyle xmlns:cs="http://schemas.microsoft.com/office/drawing/2012/chartStyle" xmlns:a="http://schemas.openxmlformats.org/drawingml/2006/main" meth="withinLinearReversed" id="21">
  <a:schemeClr val="accent1"/>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image" Target="../media/image5.svg"/></Relationships>
</file>

<file path=xl/drawings/drawing1.xml><?xml version="1.0" encoding="utf-8"?>
<xdr:wsDr xmlns:xdr="http://schemas.openxmlformats.org/drawingml/2006/spreadsheetDrawing" xmlns:a="http://schemas.openxmlformats.org/drawingml/2006/main">
  <xdr:twoCellAnchor editAs="oneCell">
    <xdr:from>
      <xdr:col>1</xdr:col>
      <xdr:colOff>46014</xdr:colOff>
      <xdr:row>30</xdr:row>
      <xdr:rowOff>85726</xdr:rowOff>
    </xdr:from>
    <xdr:to>
      <xdr:col>3</xdr:col>
      <xdr:colOff>463622</xdr:colOff>
      <xdr:row>33</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5614" y="5524501"/>
          <a:ext cx="1636809" cy="571499"/>
        </a:xfrm>
        <a:prstGeom prst="rect">
          <a:avLst/>
        </a:prstGeom>
        <a:noFill/>
        <a:ln w="9525">
          <a:noFill/>
          <a:miter lim="800000"/>
          <a:headEnd/>
          <a:tailEnd/>
        </a:ln>
        <a:effectLst/>
      </xdr:spPr>
    </xdr:pic>
    <xdr:clientData/>
  </xdr:twoCellAnchor>
  <xdr:twoCellAnchor editAs="oneCell">
    <xdr:from>
      <xdr:col>5</xdr:col>
      <xdr:colOff>95251</xdr:colOff>
      <xdr:row>36</xdr:row>
      <xdr:rowOff>42333</xdr:rowOff>
    </xdr:from>
    <xdr:to>
      <xdr:col>7</xdr:col>
      <xdr:colOff>295973</xdr:colOff>
      <xdr:row>39</xdr:row>
      <xdr:rowOff>158750</xdr:rowOff>
    </xdr:to>
    <xdr:pic>
      <xdr:nvPicPr>
        <xdr:cNvPr id="3" name="Picture 2" descr="Advising Success Network">
          <a:extLst>
            <a:ext uri="{FF2B5EF4-FFF2-40B4-BE49-F238E27FC236}">
              <a16:creationId xmlns:a16="http://schemas.microsoft.com/office/drawing/2014/main" id="{1D99EF44-C281-13A9-83D0-D1D9B03C5B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1584" y="6117166"/>
          <a:ext cx="1428389" cy="687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380999</xdr:colOff>
      <xdr:row>36</xdr:row>
      <xdr:rowOff>169333</xdr:rowOff>
    </xdr:from>
    <xdr:to>
      <xdr:col>4</xdr:col>
      <xdr:colOff>510350</xdr:colOff>
      <xdr:row>39</xdr:row>
      <xdr:rowOff>127000</xdr:rowOff>
    </xdr:to>
    <xdr:pic>
      <xdr:nvPicPr>
        <xdr:cNvPr id="4" name="Picture 3">
          <a:extLst>
            <a:ext uri="{FF2B5EF4-FFF2-40B4-BE49-F238E27FC236}">
              <a16:creationId xmlns:a16="http://schemas.microsoft.com/office/drawing/2014/main" id="{5F95283B-DACB-FB56-371B-F123627DD210}"/>
            </a:ext>
          </a:extLst>
        </xdr:cNvPr>
        <xdr:cNvPicPr>
          <a:picLocks noChangeAspect="1"/>
        </xdr:cNvPicPr>
      </xdr:nvPicPr>
      <xdr:blipFill rotWithShape="1">
        <a:blip xmlns:r="http://schemas.openxmlformats.org/officeDocument/2006/relationships" r:embed="rId3"/>
        <a:srcRect r="64626"/>
        <a:stretch/>
      </xdr:blipFill>
      <xdr:spPr>
        <a:xfrm>
          <a:off x="380999" y="6244166"/>
          <a:ext cx="2351851" cy="5291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25</xdr:row>
      <xdr:rowOff>0</xdr:rowOff>
    </xdr:from>
    <xdr:to>
      <xdr:col>12</xdr:col>
      <xdr:colOff>582930</xdr:colOff>
      <xdr:row>41</xdr:row>
      <xdr:rowOff>152400</xdr:rowOff>
    </xdr:to>
    <xdr:graphicFrame macro="">
      <xdr:nvGraphicFramePr>
        <xdr:cNvPr id="2" name="Chart 1">
          <a:extLst>
            <a:ext uri="{FF2B5EF4-FFF2-40B4-BE49-F238E27FC236}">
              <a16:creationId xmlns:a16="http://schemas.microsoft.com/office/drawing/2014/main" id="{A9FFD192-A766-4409-AB43-4A82E03D3E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46</xdr:row>
      <xdr:rowOff>0</xdr:rowOff>
    </xdr:from>
    <xdr:to>
      <xdr:col>12</xdr:col>
      <xdr:colOff>582930</xdr:colOff>
      <xdr:row>62</xdr:row>
      <xdr:rowOff>152400</xdr:rowOff>
    </xdr:to>
    <xdr:graphicFrame macro="">
      <xdr:nvGraphicFramePr>
        <xdr:cNvPr id="3" name="Chart 2">
          <a:extLst>
            <a:ext uri="{FF2B5EF4-FFF2-40B4-BE49-F238E27FC236}">
              <a16:creationId xmlns:a16="http://schemas.microsoft.com/office/drawing/2014/main" id="{B5AA82EA-6C39-4C90-B177-F41EB0EF9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666749</xdr:colOff>
      <xdr:row>5</xdr:row>
      <xdr:rowOff>0</xdr:rowOff>
    </xdr:from>
    <xdr:to>
      <xdr:col>25</xdr:col>
      <xdr:colOff>582929</xdr:colOff>
      <xdr:row>21</xdr:row>
      <xdr:rowOff>152400</xdr:rowOff>
    </xdr:to>
    <xdr:graphicFrame macro="">
      <xdr:nvGraphicFramePr>
        <xdr:cNvPr id="4" name="Chart 3">
          <a:extLst>
            <a:ext uri="{FF2B5EF4-FFF2-40B4-BE49-F238E27FC236}">
              <a16:creationId xmlns:a16="http://schemas.microsoft.com/office/drawing/2014/main" id="{AD508BCA-1E90-472C-8829-AF7096E0C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xdr:row>
      <xdr:rowOff>0</xdr:rowOff>
    </xdr:from>
    <xdr:to>
      <xdr:col>12</xdr:col>
      <xdr:colOff>582930</xdr:colOff>
      <xdr:row>21</xdr:row>
      <xdr:rowOff>152400</xdr:rowOff>
    </xdr:to>
    <xdr:graphicFrame macro="">
      <xdr:nvGraphicFramePr>
        <xdr:cNvPr id="5" name="Chart 4">
          <a:extLst>
            <a:ext uri="{FF2B5EF4-FFF2-40B4-BE49-F238E27FC236}">
              <a16:creationId xmlns:a16="http://schemas.microsoft.com/office/drawing/2014/main" id="{4FF67CC5-EED8-488E-A89E-92539EB1E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592454</xdr:colOff>
      <xdr:row>46</xdr:row>
      <xdr:rowOff>0</xdr:rowOff>
    </xdr:from>
    <xdr:to>
      <xdr:col>25</xdr:col>
      <xdr:colOff>578908</xdr:colOff>
      <xdr:row>62</xdr:row>
      <xdr:rowOff>148167</xdr:rowOff>
    </xdr:to>
    <xdr:graphicFrame macro="">
      <xdr:nvGraphicFramePr>
        <xdr:cNvPr id="7" name="Chart 6">
          <a:extLst>
            <a:ext uri="{FF2B5EF4-FFF2-40B4-BE49-F238E27FC236}">
              <a16:creationId xmlns:a16="http://schemas.microsoft.com/office/drawing/2014/main" id="{960A7B31-6A2B-4CAA-A00B-484BA7F71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592454</xdr:colOff>
      <xdr:row>25</xdr:row>
      <xdr:rowOff>0</xdr:rowOff>
    </xdr:from>
    <xdr:to>
      <xdr:col>25</xdr:col>
      <xdr:colOff>582929</xdr:colOff>
      <xdr:row>41</xdr:row>
      <xdr:rowOff>152399</xdr:rowOff>
    </xdr:to>
    <xdr:graphicFrame macro="">
      <xdr:nvGraphicFramePr>
        <xdr:cNvPr id="9" name="Chart 8">
          <a:extLst>
            <a:ext uri="{FF2B5EF4-FFF2-40B4-BE49-F238E27FC236}">
              <a16:creationId xmlns:a16="http://schemas.microsoft.com/office/drawing/2014/main" id="{C11F8B89-7F4C-44D7-A8D6-DC809ACCC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114300</xdr:colOff>
      <xdr:row>30</xdr:row>
      <xdr:rowOff>0</xdr:rowOff>
    </xdr:from>
    <xdr:to>
      <xdr:col>16</xdr:col>
      <xdr:colOff>262890</xdr:colOff>
      <xdr:row>39</xdr:row>
      <xdr:rowOff>149014</xdr:rowOff>
    </xdr:to>
    <xdr:sp macro="" textlink="">
      <xdr:nvSpPr>
        <xdr:cNvPr id="3" name="TextBox 1">
          <a:extLst>
            <a:ext uri="{FF2B5EF4-FFF2-40B4-BE49-F238E27FC236}">
              <a16:creationId xmlns:a16="http://schemas.microsoft.com/office/drawing/2014/main" id="{00000000-0008-0000-0600-000003000000}"/>
            </a:ext>
          </a:extLst>
        </xdr:cNvPr>
        <xdr:cNvSpPr txBox="1"/>
      </xdr:nvSpPr>
      <xdr:spPr>
        <a:xfrm>
          <a:off x="15819967" y="5477933"/>
          <a:ext cx="1362075" cy="215180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9:</a:t>
          </a:r>
          <a:r>
            <a:rPr lang="en-US" sz="1050" b="1" i="1">
              <a:solidFill>
                <a:schemeClr val="bg1"/>
              </a:solidFill>
            </a:rPr>
            <a:t> </a:t>
          </a:r>
        </a:p>
        <a:p>
          <a:r>
            <a:rPr lang="en-US" sz="1050" b="1" i="1">
              <a:solidFill>
                <a:schemeClr val="bg1"/>
              </a:solidFill>
            </a:rPr>
            <a:t>This</a:t>
          </a:r>
          <a:r>
            <a:rPr lang="en-US" sz="1050" b="1" i="1" baseline="0">
              <a:solidFill>
                <a:schemeClr val="bg1"/>
              </a:solidFill>
            </a:rPr>
            <a:t> graph shows the potential net revenue generated from an increase in retention or average student credit hour load among students participating in the initiative (relative to the prior year estimates).</a:t>
          </a:r>
        </a:p>
        <a:p>
          <a:endParaRPr lang="en-US" sz="1050" b="1" i="1" baseline="0">
            <a:solidFill>
              <a:schemeClr val="bg1"/>
            </a:solidFill>
          </a:endParaRPr>
        </a:p>
        <a:p>
          <a:r>
            <a:rPr lang="en-US" sz="1050" b="1" i="1" baseline="0">
              <a:solidFill>
                <a:schemeClr val="bg1"/>
              </a:solidFill>
            </a:rPr>
            <a:t>The total impact of this projected net revenue is shown in Figure 4 on the "Dashboard Graphics" tab.</a:t>
          </a:r>
          <a:endParaRPr lang="en-US" sz="1050" b="1" i="1">
            <a:solidFill>
              <a:schemeClr val="bg1"/>
            </a:solidFill>
          </a:endParaRPr>
        </a:p>
      </xdr:txBody>
    </xdr:sp>
    <xdr:clientData/>
  </xdr:twoCellAnchor>
  <xdr:twoCellAnchor editAs="oneCell">
    <xdr:from>
      <xdr:col>1</xdr:col>
      <xdr:colOff>20108</xdr:colOff>
      <xdr:row>26</xdr:row>
      <xdr:rowOff>95243</xdr:rowOff>
    </xdr:from>
    <xdr:to>
      <xdr:col>4</xdr:col>
      <xdr:colOff>633094</xdr:colOff>
      <xdr:row>37</xdr:row>
      <xdr:rowOff>21159</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200028</xdr:colOff>
      <xdr:row>26</xdr:row>
      <xdr:rowOff>95244</xdr:rowOff>
    </xdr:from>
    <xdr:to>
      <xdr:col>10</xdr:col>
      <xdr:colOff>19264</xdr:colOff>
      <xdr:row>37</xdr:row>
      <xdr:rowOff>21160</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127000</xdr:colOff>
      <xdr:row>35</xdr:row>
      <xdr:rowOff>179917</xdr:rowOff>
    </xdr:from>
    <xdr:to>
      <xdr:col>1</xdr:col>
      <xdr:colOff>1206500</xdr:colOff>
      <xdr:row>37</xdr:row>
      <xdr:rowOff>10584</xdr:rowOff>
    </xdr:to>
    <xdr:sp macro="" textlink="">
      <xdr:nvSpPr>
        <xdr:cNvPr id="8" name="TextBox 7">
          <a:extLst>
            <a:ext uri="{FF2B5EF4-FFF2-40B4-BE49-F238E27FC236}">
              <a16:creationId xmlns:a16="http://schemas.microsoft.com/office/drawing/2014/main" id="{C82CDFC2-EBA0-6193-66C5-A0AF5422FCF6}"/>
            </a:ext>
          </a:extLst>
        </xdr:cNvPr>
        <xdr:cNvSpPr txBox="1"/>
      </xdr:nvSpPr>
      <xdr:spPr>
        <a:xfrm>
          <a:off x="359833" y="6762750"/>
          <a:ext cx="1079500" cy="211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900" i="1">
              <a:solidFill>
                <a:schemeClr val="tx1">
                  <a:lumMod val="75000"/>
                  <a:lumOff val="25000"/>
                </a:schemeClr>
              </a:solidFill>
            </a:rPr>
            <a:t>(p) projected</a:t>
          </a:r>
        </a:p>
      </xdr:txBody>
    </xdr:sp>
    <xdr:clientData/>
  </xdr:twoCellAnchor>
  <xdr:twoCellAnchor editAs="oneCell">
    <xdr:from>
      <xdr:col>10</xdr:col>
      <xdr:colOff>201083</xdr:colOff>
      <xdr:row>13</xdr:row>
      <xdr:rowOff>190499</xdr:rowOff>
    </xdr:from>
    <xdr:to>
      <xdr:col>11</xdr:col>
      <xdr:colOff>582083</xdr:colOff>
      <xdr:row>15</xdr:row>
      <xdr:rowOff>42332</xdr:rowOff>
    </xdr:to>
    <xdr:pic>
      <xdr:nvPicPr>
        <xdr:cNvPr id="5" name="Graphic 4" descr="Lightbulb and gear with solid fill">
          <a:extLst>
            <a:ext uri="{FF2B5EF4-FFF2-40B4-BE49-F238E27FC236}">
              <a16:creationId xmlns:a16="http://schemas.microsoft.com/office/drawing/2014/main" id="{66A00A25-465A-EFD8-ED8F-8CD777A45C3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699750" y="2868082"/>
          <a:ext cx="613833" cy="613833"/>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0.01965</cdr:x>
      <cdr:y>0.90741</cdr:y>
    </cdr:from>
    <cdr:to>
      <cdr:x>0.2424</cdr:x>
      <cdr:y>1</cdr:y>
    </cdr:to>
    <cdr:sp macro="" textlink="">
      <cdr:nvSpPr>
        <cdr:cNvPr id="2" name="TextBox 7">
          <a:extLst xmlns:a="http://schemas.openxmlformats.org/drawingml/2006/main">
            <a:ext uri="{FF2B5EF4-FFF2-40B4-BE49-F238E27FC236}">
              <a16:creationId xmlns:a16="http://schemas.microsoft.com/office/drawing/2014/main" id="{C82CDFC2-EBA0-6193-66C5-A0AF5422FCF6}"/>
            </a:ext>
          </a:extLst>
        </cdr:cNvPr>
        <cdr:cNvSpPr txBox="1"/>
      </cdr:nvSpPr>
      <cdr:spPr>
        <a:xfrm xmlns:a="http://schemas.openxmlformats.org/drawingml/2006/main">
          <a:off x="95250" y="2074333"/>
          <a:ext cx="1079500" cy="21166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900" i="1">
              <a:solidFill>
                <a:schemeClr val="tx1">
                  <a:lumMod val="75000"/>
                  <a:lumOff val="25000"/>
                </a:schemeClr>
              </a:solidFill>
            </a:rPr>
            <a:t>(p) projected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nnaDesrochers/Dropbox%20(rpk%20GROUP)/rpk%20GROUP%20Team%20Folder/Client%20Projects/Current%20Clients/Lumina/PACCE/6.%20Tools/1.%20Financial%20Model/SAMPLE%20-%20rpk%20GROUP%20Financial%20Model%20(PACCE)_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ashboard"/>
      <sheetName val="DB Data"/>
      <sheetName val="Instructions"/>
      <sheetName val="Activity &amp; Pricing"/>
      <sheetName val="Employee Salary Expense"/>
      <sheetName val="Revenue &amp; Expense"/>
      <sheetName val="Assumptions"/>
    </sheetNames>
    <sheetDataSet>
      <sheetData sheetId="0">
        <row r="1">
          <cell r="B1" t="str">
            <v>Prioritizing Adult Community College Enrollment (PACCE) Grant</v>
          </cell>
        </row>
      </sheetData>
      <sheetData sheetId="1"/>
      <sheetData sheetId="2"/>
      <sheetData sheetId="3"/>
      <sheetData sheetId="4">
        <row r="14">
          <cell r="D14"/>
        </row>
      </sheetData>
      <sheetData sheetId="5"/>
      <sheetData sheetId="6">
        <row r="9">
          <cell r="D9"/>
          <cell r="E9">
            <v>52000</v>
          </cell>
          <cell r="F9">
            <v>90485</v>
          </cell>
          <cell r="G9">
            <v>158652</v>
          </cell>
          <cell r="H9">
            <v>226132</v>
          </cell>
          <cell r="I9">
            <v>321640</v>
          </cell>
        </row>
        <row r="18">
          <cell r="D18">
            <v>136990</v>
          </cell>
          <cell r="E18">
            <v>118204</v>
          </cell>
        </row>
        <row r="37">
          <cell r="D37">
            <v>136990</v>
          </cell>
          <cell r="E37">
            <v>118204</v>
          </cell>
          <cell r="F37">
            <v>96289</v>
          </cell>
          <cell r="G37">
            <v>68647</v>
          </cell>
          <cell r="H37">
            <v>58762</v>
          </cell>
          <cell r="I37">
            <v>59940</v>
          </cell>
        </row>
      </sheetData>
      <sheetData sheetId="7">
        <row r="5">
          <cell r="D5" t="str">
            <v>2021-22</v>
          </cell>
          <cell r="E5" t="str">
            <v>2022-23</v>
          </cell>
          <cell r="F5" t="str">
            <v>2023-24</v>
          </cell>
          <cell r="G5" t="str">
            <v>2024-25</v>
          </cell>
          <cell r="H5" t="str">
            <v>2025-26</v>
          </cell>
          <cell r="I5" t="str">
            <v>2026-27</v>
          </cell>
        </row>
        <row r="20">
          <cell r="D20">
            <v>0.45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ascu.org/uploadedFiles/AASCU/Content/Root/AcademicAffairsPrograms/rpk_AASCU_ASN_Sustainability_Toolkit.pdf" TargetMode="External"/><Relationship Id="rId1" Type="http://schemas.openxmlformats.org/officeDocument/2006/relationships/hyperlink" Target="https://www.aascu.org/uploadedFiles/AASCU/Content/Root/AcademicAffairsPrograms/rpk_AASCU_ASN_Sustainability_Primer.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ascu.org/uploadedFiles/AASCU/Content/Root/AcademicAffairsPrograms/rpk_AASCU_ASN_Sustainability_Toolkit.pdf" TargetMode="External"/><Relationship Id="rId1" Type="http://schemas.openxmlformats.org/officeDocument/2006/relationships/hyperlink" Target="https://nces.ed.gov/ipeds/use-the-dat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0"/>
  <sheetViews>
    <sheetView showGridLines="0" tabSelected="1" topLeftCell="A36" zoomScale="90" zoomScaleNormal="90" workbookViewId="0"/>
  </sheetViews>
  <sheetFormatPr defaultRowHeight="14.5" x14ac:dyDescent="0.35"/>
  <cols>
    <col min="1" max="1" width="5.7265625" customWidth="1"/>
  </cols>
  <sheetData>
    <row r="1" spans="1:29" ht="18.5" x14ac:dyDescent="0.45">
      <c r="A1" s="31" t="s">
        <v>266</v>
      </c>
      <c r="B1" s="32"/>
      <c r="C1" s="32"/>
      <c r="D1" s="32"/>
      <c r="E1" s="32"/>
      <c r="F1" s="32"/>
      <c r="G1" s="32"/>
      <c r="H1" s="32"/>
      <c r="I1" s="32"/>
      <c r="J1" s="32"/>
      <c r="K1" s="32"/>
      <c r="L1" s="32"/>
      <c r="M1" s="32"/>
      <c r="N1" s="32"/>
      <c r="O1" s="32"/>
      <c r="P1" s="32"/>
      <c r="Q1" s="31"/>
      <c r="R1" s="31"/>
      <c r="S1" s="31"/>
      <c r="T1" s="31"/>
      <c r="U1" s="31"/>
      <c r="V1" s="31"/>
      <c r="W1" s="31"/>
      <c r="X1" s="31"/>
      <c r="Y1" s="31"/>
      <c r="Z1" s="31"/>
      <c r="AA1" s="31"/>
      <c r="AB1" s="31"/>
      <c r="AC1" s="31"/>
    </row>
    <row r="2" spans="1:29" ht="18.5" x14ac:dyDescent="0.45">
      <c r="A2" s="337" t="s">
        <v>267</v>
      </c>
      <c r="B2" s="32"/>
      <c r="C2" s="32"/>
      <c r="D2" s="32"/>
      <c r="E2" s="32"/>
      <c r="F2" s="32"/>
      <c r="G2" s="32"/>
      <c r="H2" s="32"/>
      <c r="I2" s="32"/>
      <c r="J2" s="32"/>
      <c r="K2" s="32"/>
      <c r="L2" s="32"/>
      <c r="M2" s="32"/>
      <c r="N2" s="32"/>
      <c r="O2" s="32"/>
      <c r="P2" s="32"/>
      <c r="Q2" s="31"/>
      <c r="R2" s="31"/>
      <c r="S2" s="31"/>
      <c r="T2" s="31"/>
      <c r="U2" s="31"/>
      <c r="V2" s="31"/>
      <c r="W2" s="31"/>
      <c r="X2" s="31"/>
      <c r="Y2" s="31"/>
      <c r="Z2" s="31"/>
      <c r="AA2" s="31"/>
      <c r="AB2" s="31"/>
      <c r="AC2" s="31"/>
    </row>
    <row r="3" spans="1:29" ht="18.5" x14ac:dyDescent="0.45">
      <c r="A3" s="34"/>
      <c r="B3" s="34"/>
      <c r="C3" s="34"/>
      <c r="D3" s="34"/>
      <c r="E3" s="34"/>
      <c r="F3" s="34"/>
      <c r="G3" s="34"/>
      <c r="H3" s="34"/>
      <c r="I3" s="34"/>
      <c r="J3" s="34"/>
      <c r="K3" s="34"/>
      <c r="L3" s="34"/>
      <c r="M3" s="34"/>
      <c r="N3" s="34"/>
      <c r="O3" s="34"/>
      <c r="P3" s="34"/>
      <c r="Q3" s="33"/>
      <c r="R3" s="33"/>
      <c r="S3" s="33"/>
      <c r="T3" s="33"/>
      <c r="U3" s="33"/>
      <c r="V3" s="33"/>
      <c r="W3" s="33"/>
      <c r="X3" s="33"/>
      <c r="Y3" s="33"/>
      <c r="Z3" s="33"/>
      <c r="AA3" s="33"/>
      <c r="AB3" s="33"/>
      <c r="AC3" s="33"/>
    </row>
    <row r="5" spans="1:29" x14ac:dyDescent="0.35">
      <c r="B5" s="35"/>
      <c r="C5" s="36"/>
      <c r="D5" s="36"/>
      <c r="E5" s="36"/>
      <c r="F5" s="36"/>
      <c r="G5" s="36"/>
      <c r="H5" s="36"/>
      <c r="I5" s="36"/>
      <c r="J5" s="36"/>
      <c r="K5" s="36"/>
      <c r="L5" s="37"/>
    </row>
    <row r="6" spans="1:29" x14ac:dyDescent="0.35">
      <c r="B6" s="403" t="s">
        <v>53</v>
      </c>
      <c r="C6" s="404"/>
      <c r="D6" s="404"/>
      <c r="E6" s="404"/>
      <c r="F6" s="404"/>
      <c r="G6" s="404"/>
      <c r="H6" s="404"/>
      <c r="I6" s="404"/>
      <c r="J6" s="404"/>
      <c r="K6" s="404"/>
      <c r="L6" s="38"/>
      <c r="N6" s="405" t="s">
        <v>38</v>
      </c>
      <c r="O6" s="405"/>
      <c r="P6" s="405"/>
      <c r="Q6" s="405"/>
    </row>
    <row r="7" spans="1:29" x14ac:dyDescent="0.35">
      <c r="B7" s="403"/>
      <c r="C7" s="404"/>
      <c r="D7" s="404"/>
      <c r="E7" s="404"/>
      <c r="F7" s="404"/>
      <c r="G7" s="404"/>
      <c r="H7" s="404"/>
      <c r="I7" s="404"/>
      <c r="J7" s="404"/>
      <c r="K7" s="404"/>
      <c r="L7" s="38"/>
      <c r="N7" s="405"/>
      <c r="O7" s="405"/>
      <c r="P7" s="405"/>
      <c r="Q7" s="405"/>
    </row>
    <row r="8" spans="1:29" x14ac:dyDescent="0.35">
      <c r="B8" s="403"/>
      <c r="C8" s="404"/>
      <c r="D8" s="404"/>
      <c r="E8" s="404"/>
      <c r="F8" s="404"/>
      <c r="G8" s="404"/>
      <c r="H8" s="404"/>
      <c r="I8" s="404"/>
      <c r="J8" s="404"/>
      <c r="K8" s="404"/>
      <c r="L8" s="38"/>
      <c r="N8" s="405"/>
      <c r="O8" s="405"/>
      <c r="P8" s="405"/>
      <c r="Q8" s="405"/>
    </row>
    <row r="9" spans="1:29" ht="15.5" x14ac:dyDescent="0.35">
      <c r="B9" s="403" t="s">
        <v>268</v>
      </c>
      <c r="C9" s="404"/>
      <c r="D9" s="404"/>
      <c r="E9" s="404"/>
      <c r="F9" s="404"/>
      <c r="G9" s="404"/>
      <c r="H9" s="404"/>
      <c r="I9" s="404"/>
      <c r="J9" s="404"/>
      <c r="K9" s="404"/>
      <c r="L9" s="406"/>
      <c r="N9" s="325"/>
      <c r="O9" s="325"/>
      <c r="P9" s="325"/>
      <c r="Q9" s="325"/>
    </row>
    <row r="10" spans="1:29" x14ac:dyDescent="0.35">
      <c r="B10" s="407" t="s">
        <v>269</v>
      </c>
      <c r="C10" s="408"/>
      <c r="D10" s="408"/>
      <c r="E10" s="408"/>
      <c r="F10" s="408"/>
      <c r="G10" s="408"/>
      <c r="H10" s="408"/>
      <c r="I10" s="408"/>
      <c r="J10" s="408"/>
      <c r="K10" s="408"/>
      <c r="L10" s="409"/>
      <c r="N10" s="325"/>
      <c r="O10" s="325"/>
      <c r="P10" s="325"/>
      <c r="Q10" s="325"/>
    </row>
    <row r="11" spans="1:29" x14ac:dyDescent="0.35">
      <c r="B11" s="407" t="s">
        <v>270</v>
      </c>
      <c r="C11" s="408"/>
      <c r="D11" s="408"/>
      <c r="E11" s="408"/>
      <c r="F11" s="408"/>
      <c r="G11" s="408"/>
      <c r="H11" s="408"/>
      <c r="I11" s="408"/>
      <c r="J11" s="408"/>
      <c r="K11" s="408"/>
      <c r="L11" s="409"/>
      <c r="N11" s="325"/>
      <c r="O11" s="325"/>
      <c r="P11" s="325"/>
      <c r="Q11" s="325"/>
    </row>
    <row r="12" spans="1:29" x14ac:dyDescent="0.35">
      <c r="B12" s="39"/>
      <c r="C12" s="40"/>
      <c r="D12" s="40"/>
      <c r="E12" s="40"/>
      <c r="F12" s="40"/>
      <c r="G12" s="40"/>
      <c r="H12" s="40"/>
      <c r="I12" s="40"/>
      <c r="J12" s="40"/>
      <c r="K12" s="40"/>
      <c r="L12" s="38"/>
    </row>
    <row r="13" spans="1:29" x14ac:dyDescent="0.35">
      <c r="B13" s="401" t="s">
        <v>271</v>
      </c>
      <c r="C13" s="402"/>
      <c r="D13" s="402"/>
      <c r="E13" s="402"/>
      <c r="F13" s="402"/>
      <c r="G13" s="402"/>
      <c r="H13" s="402"/>
      <c r="I13" s="402"/>
      <c r="J13" s="402"/>
      <c r="K13" s="402"/>
      <c r="L13" s="38"/>
    </row>
    <row r="14" spans="1:29" x14ac:dyDescent="0.35">
      <c r="B14" s="401"/>
      <c r="C14" s="402"/>
      <c r="D14" s="402"/>
      <c r="E14" s="402"/>
      <c r="F14" s="402"/>
      <c r="G14" s="402"/>
      <c r="H14" s="402"/>
      <c r="I14" s="402"/>
      <c r="J14" s="402"/>
      <c r="K14" s="402"/>
      <c r="L14" s="38"/>
    </row>
    <row r="15" spans="1:29" x14ac:dyDescent="0.35">
      <c r="B15" s="401"/>
      <c r="C15" s="402"/>
      <c r="D15" s="402"/>
      <c r="E15" s="402"/>
      <c r="F15" s="402"/>
      <c r="G15" s="402"/>
      <c r="H15" s="402"/>
      <c r="I15" s="402"/>
      <c r="J15" s="402"/>
      <c r="K15" s="402"/>
      <c r="L15" s="38"/>
    </row>
    <row r="16" spans="1:29" x14ac:dyDescent="0.35">
      <c r="B16" s="401"/>
      <c r="C16" s="402"/>
      <c r="D16" s="402"/>
      <c r="E16" s="402"/>
      <c r="F16" s="402"/>
      <c r="G16" s="402"/>
      <c r="H16" s="402"/>
      <c r="I16" s="402"/>
      <c r="J16" s="402"/>
      <c r="K16" s="402"/>
      <c r="L16" s="38"/>
    </row>
    <row r="17" spans="2:12" x14ac:dyDescent="0.35">
      <c r="B17" s="401"/>
      <c r="C17" s="402"/>
      <c r="D17" s="402"/>
      <c r="E17" s="402"/>
      <c r="F17" s="402"/>
      <c r="G17" s="402"/>
      <c r="H17" s="402"/>
      <c r="I17" s="402"/>
      <c r="J17" s="402"/>
      <c r="K17" s="402"/>
      <c r="L17" s="38"/>
    </row>
    <row r="18" spans="2:12" x14ac:dyDescent="0.35">
      <c r="B18" s="401"/>
      <c r="C18" s="402"/>
      <c r="D18" s="402"/>
      <c r="E18" s="402"/>
      <c r="F18" s="402"/>
      <c r="G18" s="402"/>
      <c r="H18" s="402"/>
      <c r="I18" s="402"/>
      <c r="J18" s="402"/>
      <c r="K18" s="402"/>
      <c r="L18" s="38"/>
    </row>
    <row r="19" spans="2:12" x14ac:dyDescent="0.35">
      <c r="B19" s="401"/>
      <c r="C19" s="402"/>
      <c r="D19" s="402"/>
      <c r="E19" s="402"/>
      <c r="F19" s="402"/>
      <c r="G19" s="402"/>
      <c r="H19" s="402"/>
      <c r="I19" s="402"/>
      <c r="J19" s="402"/>
      <c r="K19" s="402"/>
      <c r="L19" s="38"/>
    </row>
    <row r="20" spans="2:12" x14ac:dyDescent="0.35">
      <c r="B20" s="401"/>
      <c r="C20" s="402"/>
      <c r="D20" s="402"/>
      <c r="E20" s="402"/>
      <c r="F20" s="402"/>
      <c r="G20" s="402"/>
      <c r="H20" s="402"/>
      <c r="I20" s="402"/>
      <c r="J20" s="402"/>
      <c r="K20" s="402"/>
      <c r="L20" s="38"/>
    </row>
    <row r="21" spans="2:12" x14ac:dyDescent="0.35">
      <c r="B21" s="401"/>
      <c r="C21" s="402"/>
      <c r="D21" s="402"/>
      <c r="E21" s="402"/>
      <c r="F21" s="402"/>
      <c r="G21" s="402"/>
      <c r="H21" s="402"/>
      <c r="I21" s="402"/>
      <c r="J21" s="402"/>
      <c r="K21" s="402"/>
      <c r="L21" s="38"/>
    </row>
    <row r="22" spans="2:12" x14ac:dyDescent="0.35">
      <c r="B22" s="401"/>
      <c r="C22" s="402"/>
      <c r="D22" s="402"/>
      <c r="E22" s="402"/>
      <c r="F22" s="402"/>
      <c r="G22" s="402"/>
      <c r="H22" s="402"/>
      <c r="I22" s="402"/>
      <c r="J22" s="402"/>
      <c r="K22" s="402"/>
      <c r="L22" s="38"/>
    </row>
    <row r="23" spans="2:12" x14ac:dyDescent="0.35">
      <c r="B23" s="401"/>
      <c r="C23" s="402"/>
      <c r="D23" s="402"/>
      <c r="E23" s="402"/>
      <c r="F23" s="402"/>
      <c r="G23" s="402"/>
      <c r="H23" s="402"/>
      <c r="I23" s="402"/>
      <c r="J23" s="402"/>
      <c r="K23" s="402"/>
      <c r="L23" s="38"/>
    </row>
    <row r="24" spans="2:12" x14ac:dyDescent="0.35">
      <c r="B24" s="401"/>
      <c r="C24" s="402"/>
      <c r="D24" s="402"/>
      <c r="E24" s="402"/>
      <c r="F24" s="402"/>
      <c r="G24" s="402"/>
      <c r="H24" s="402"/>
      <c r="I24" s="402"/>
      <c r="J24" s="402"/>
      <c r="K24" s="402"/>
      <c r="L24" s="38"/>
    </row>
    <row r="25" spans="2:12" x14ac:dyDescent="0.35">
      <c r="B25" s="401"/>
      <c r="C25" s="402"/>
      <c r="D25" s="402"/>
      <c r="E25" s="402"/>
      <c r="F25" s="402"/>
      <c r="G25" s="402"/>
      <c r="H25" s="402"/>
      <c r="I25" s="402"/>
      <c r="J25" s="402"/>
      <c r="K25" s="402"/>
      <c r="L25" s="38"/>
    </row>
    <row r="26" spans="2:12" ht="48" customHeight="1" x14ac:dyDescent="0.35">
      <c r="B26" s="398" t="s">
        <v>272</v>
      </c>
      <c r="C26" s="399"/>
      <c r="D26" s="399"/>
      <c r="E26" s="399"/>
      <c r="F26" s="399"/>
      <c r="G26" s="399"/>
      <c r="H26" s="399"/>
      <c r="I26" s="399"/>
      <c r="J26" s="399"/>
      <c r="K26" s="399"/>
      <c r="L26" s="400"/>
    </row>
    <row r="27" spans="2:12" ht="15.5" x14ac:dyDescent="0.35">
      <c r="B27" s="323"/>
      <c r="C27" s="324"/>
      <c r="D27" s="324"/>
      <c r="E27" s="324"/>
      <c r="F27" s="324"/>
      <c r="G27" s="324"/>
      <c r="H27" s="324"/>
      <c r="I27" s="324"/>
      <c r="J27" s="324"/>
      <c r="K27" s="324"/>
      <c r="L27" s="38"/>
    </row>
    <row r="28" spans="2:12" x14ac:dyDescent="0.35">
      <c r="B28" s="41"/>
      <c r="C28" s="42"/>
      <c r="D28" s="42"/>
      <c r="E28" s="42"/>
      <c r="F28" s="42"/>
      <c r="G28" s="42"/>
      <c r="H28" s="42"/>
      <c r="I28" s="42"/>
      <c r="J28" s="42"/>
      <c r="K28" s="42"/>
      <c r="L28" s="43"/>
    </row>
    <row r="30" spans="2:12" ht="15.5" x14ac:dyDescent="0.35">
      <c r="B30" s="21" t="s">
        <v>52</v>
      </c>
    </row>
  </sheetData>
  <sheetProtection algorithmName="SHA-512" hashValue="cXDBF6tU0Botn/0ZPCpOqRZMJMo+lIWWe0P5wyLZeKIV7vIt0mZx0Uy5mgaXQ2Nnv8DACA138jeXQdlFS0St9g==" saltValue="G/wNUGU1f8hM+RXPNAlndQ==" spinCount="100000" sheet="1" objects="1" scenarios="1"/>
  <mergeCells count="7">
    <mergeCell ref="B26:L26"/>
    <mergeCell ref="B13:K25"/>
    <mergeCell ref="B6:K8"/>
    <mergeCell ref="N6:Q8"/>
    <mergeCell ref="B9:L9"/>
    <mergeCell ref="B10:L10"/>
    <mergeCell ref="B11:L11"/>
  </mergeCells>
  <hyperlinks>
    <hyperlink ref="B10:L10" r:id="rId1" display="1. The Business Model Case for Sustainable Advising Redesign: A Senior Leadership Primer" xr:uid="{6187A5B4-46DC-4546-AA24-D377F53A0114}"/>
    <hyperlink ref="B11:L11" r:id="rId2" display="2. The Business Model Case for Sustainable Advising Redesign: A Toolkit" xr:uid="{C2F0C013-BA14-417F-AF5F-31CCD9032DF0}"/>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46D2B-C80C-4D0A-9911-751E703E25E8}">
  <sheetPr>
    <tabColor rgb="FF1D2172"/>
    <pageSetUpPr autoPageBreaks="0" fitToPage="1"/>
  </sheetPr>
  <dimension ref="A1:M29"/>
  <sheetViews>
    <sheetView showGridLines="0" zoomScale="90" zoomScaleNormal="90" workbookViewId="0"/>
  </sheetViews>
  <sheetFormatPr defaultColWidth="10.54296875" defaultRowHeight="15.5" x14ac:dyDescent="0.35"/>
  <cols>
    <col min="1" max="1" width="6.453125" style="55" customWidth="1"/>
    <col min="2" max="2" width="39.81640625" style="55" customWidth="1"/>
    <col min="3" max="3" width="8.7265625" style="55" customWidth="1"/>
    <col min="4" max="9" width="14.453125" style="55" customWidth="1"/>
    <col min="10" max="10" width="6.453125" style="84" customWidth="1"/>
    <col min="11" max="11" width="84.54296875" style="55" customWidth="1"/>
    <col min="12" max="12" width="3.7265625" style="55" customWidth="1"/>
    <col min="13" max="13" width="3.7265625" style="84" customWidth="1"/>
    <col min="14" max="16384" width="10.54296875" style="55"/>
  </cols>
  <sheetData>
    <row r="1" spans="1:13" ht="18.5" x14ac:dyDescent="0.45">
      <c r="A1" s="31" t="str">
        <f>About!A1</f>
        <v>rpk GROUP | Advising Redesign Financial Model</v>
      </c>
      <c r="B1" s="54"/>
      <c r="C1" s="54"/>
      <c r="D1" s="54"/>
      <c r="E1" s="54"/>
      <c r="F1" s="54"/>
      <c r="G1" s="54"/>
      <c r="H1" s="54"/>
      <c r="I1" s="54"/>
      <c r="J1" s="54"/>
      <c r="K1" s="54"/>
      <c r="L1" s="54"/>
      <c r="M1" s="54"/>
    </row>
    <row r="2" spans="1:13" ht="18.5" x14ac:dyDescent="0.45">
      <c r="A2" s="337" t="str">
        <f>About!A2</f>
        <v>In Collaboration with American Association of State Colleges and Universities (AASCU) &amp; Advising Success Network (ASN)</v>
      </c>
      <c r="B2" s="54"/>
      <c r="C2" s="54"/>
      <c r="D2" s="54"/>
      <c r="E2" s="54"/>
      <c r="F2" s="54"/>
      <c r="G2" s="54"/>
      <c r="H2" s="54"/>
      <c r="I2" s="54"/>
      <c r="J2" s="54"/>
      <c r="K2" s="54"/>
      <c r="L2" s="54"/>
      <c r="M2" s="54"/>
    </row>
    <row r="3" spans="1:13" ht="18.5" x14ac:dyDescent="0.45">
      <c r="A3" s="33" t="s">
        <v>56</v>
      </c>
      <c r="B3" s="56"/>
      <c r="C3" s="56"/>
      <c r="D3" s="56"/>
      <c r="E3" s="56"/>
      <c r="F3" s="56"/>
      <c r="G3" s="56"/>
      <c r="H3" s="56"/>
      <c r="I3" s="56"/>
      <c r="J3" s="56"/>
      <c r="K3" s="56"/>
      <c r="L3" s="56"/>
      <c r="M3" s="56"/>
    </row>
    <row r="4" spans="1:13" x14ac:dyDescent="0.35">
      <c r="A4" s="57" t="s">
        <v>57</v>
      </c>
      <c r="B4" s="58"/>
      <c r="C4" s="59"/>
      <c r="D4" s="59"/>
      <c r="E4" s="58"/>
      <c r="F4" s="58"/>
      <c r="G4" s="58"/>
      <c r="H4" s="58"/>
      <c r="I4" s="58"/>
      <c r="J4" s="60"/>
      <c r="K4" s="58"/>
      <c r="L4" s="58"/>
      <c r="M4" s="60"/>
    </row>
    <row r="5" spans="1:13" ht="39.5" x14ac:dyDescent="0.35">
      <c r="A5" s="58"/>
      <c r="B5" s="58"/>
      <c r="C5" s="61" t="s">
        <v>58</v>
      </c>
      <c r="D5" s="62" t="s">
        <v>0</v>
      </c>
      <c r="E5" s="62" t="s">
        <v>1</v>
      </c>
      <c r="F5" s="62" t="s">
        <v>2</v>
      </c>
      <c r="G5" s="62" t="s">
        <v>3</v>
      </c>
      <c r="H5" s="62" t="s">
        <v>4</v>
      </c>
      <c r="I5" s="62" t="s">
        <v>5</v>
      </c>
      <c r="J5" s="60"/>
      <c r="K5" s="63" t="s">
        <v>6</v>
      </c>
      <c r="L5" s="62"/>
      <c r="M5" s="60"/>
    </row>
    <row r="6" spans="1:13" x14ac:dyDescent="0.35">
      <c r="A6" s="59"/>
      <c r="B6" s="64" t="s">
        <v>59</v>
      </c>
      <c r="C6" s="59"/>
      <c r="D6" s="65" t="s">
        <v>202</v>
      </c>
      <c r="E6" s="65" t="s">
        <v>203</v>
      </c>
      <c r="F6" s="65" t="s">
        <v>204</v>
      </c>
      <c r="G6" s="65" t="s">
        <v>205</v>
      </c>
      <c r="H6" s="65" t="s">
        <v>206</v>
      </c>
      <c r="I6" s="65" t="s">
        <v>207</v>
      </c>
      <c r="J6" s="60"/>
      <c r="K6" s="66"/>
      <c r="L6" s="58"/>
      <c r="M6" s="60"/>
    </row>
    <row r="7" spans="1:13" s="73" customFormat="1" ht="15" customHeight="1" x14ac:dyDescent="0.35">
      <c r="A7" s="59"/>
      <c r="B7" s="67"/>
      <c r="C7" s="68"/>
      <c r="D7" s="69"/>
      <c r="E7" s="70"/>
      <c r="F7" s="70"/>
      <c r="G7" s="70"/>
      <c r="H7" s="70"/>
      <c r="I7" s="70"/>
      <c r="J7" s="71"/>
      <c r="K7" s="321"/>
      <c r="L7" s="72"/>
      <c r="M7" s="71"/>
    </row>
    <row r="8" spans="1:13" s="79" customFormat="1" x14ac:dyDescent="0.35">
      <c r="A8" s="59"/>
      <c r="B8" s="83" t="s">
        <v>60</v>
      </c>
      <c r="C8" s="319">
        <v>0.02</v>
      </c>
      <c r="D8" s="320"/>
      <c r="E8" s="75">
        <v>0.02</v>
      </c>
      <c r="F8" s="76">
        <f>E8</f>
        <v>0.02</v>
      </c>
      <c r="G8" s="76">
        <f t="shared" ref="G8:I8" si="0">F8</f>
        <v>0.02</v>
      </c>
      <c r="H8" s="76">
        <f t="shared" si="0"/>
        <v>0.02</v>
      </c>
      <c r="I8" s="76">
        <f t="shared" si="0"/>
        <v>0.02</v>
      </c>
      <c r="J8" s="77"/>
      <c r="K8" s="66" t="s">
        <v>68</v>
      </c>
      <c r="L8" s="78"/>
      <c r="M8" s="77"/>
    </row>
    <row r="9" spans="1:13" s="73" customFormat="1" ht="15" customHeight="1" x14ac:dyDescent="0.35">
      <c r="A9" s="59"/>
      <c r="B9" s="155"/>
      <c r="C9" s="80"/>
      <c r="D9" s="69"/>
      <c r="E9" s="69"/>
      <c r="F9" s="69"/>
      <c r="G9" s="69"/>
      <c r="H9" s="69"/>
      <c r="I9" s="69"/>
      <c r="J9" s="71"/>
      <c r="K9" s="66"/>
      <c r="L9" s="72"/>
      <c r="M9" s="71"/>
    </row>
    <row r="10" spans="1:13" s="79" customFormat="1" x14ac:dyDescent="0.35">
      <c r="A10" s="59"/>
      <c r="B10" s="83" t="s">
        <v>61</v>
      </c>
      <c r="C10" s="319">
        <v>0.02</v>
      </c>
      <c r="D10" s="320"/>
      <c r="E10" s="75">
        <v>0.02</v>
      </c>
      <c r="F10" s="76">
        <f>E10</f>
        <v>0.02</v>
      </c>
      <c r="G10" s="76">
        <f t="shared" ref="G10:I10" si="1">F10</f>
        <v>0.02</v>
      </c>
      <c r="H10" s="76">
        <f t="shared" si="1"/>
        <v>0.02</v>
      </c>
      <c r="I10" s="76">
        <f t="shared" si="1"/>
        <v>0.02</v>
      </c>
      <c r="J10" s="77"/>
      <c r="K10" s="66" t="s">
        <v>67</v>
      </c>
      <c r="L10" s="78"/>
      <c r="M10" s="77"/>
    </row>
    <row r="11" spans="1:13" s="79" customFormat="1" x14ac:dyDescent="0.35">
      <c r="A11" s="59"/>
      <c r="B11" s="83"/>
      <c r="C11" s="81"/>
      <c r="D11" s="74"/>
      <c r="E11" s="74"/>
      <c r="F11" s="74"/>
      <c r="G11" s="74"/>
      <c r="H11" s="74"/>
      <c r="I11" s="74"/>
      <c r="J11" s="77"/>
      <c r="K11" s="66"/>
      <c r="L11" s="74"/>
      <c r="M11" s="77"/>
    </row>
    <row r="12" spans="1:13" s="79" customFormat="1" x14ac:dyDescent="0.35">
      <c r="A12" s="59"/>
      <c r="B12" s="83" t="s">
        <v>62</v>
      </c>
      <c r="C12" s="319">
        <v>0.02</v>
      </c>
      <c r="D12" s="320"/>
      <c r="E12" s="75">
        <v>0.02</v>
      </c>
      <c r="F12" s="76">
        <f>E12</f>
        <v>0.02</v>
      </c>
      <c r="G12" s="76">
        <f t="shared" ref="G12:I12" si="2">F12</f>
        <v>0.02</v>
      </c>
      <c r="H12" s="76">
        <f t="shared" si="2"/>
        <v>0.02</v>
      </c>
      <c r="I12" s="76">
        <f t="shared" si="2"/>
        <v>0.02</v>
      </c>
      <c r="J12" s="77"/>
      <c r="K12" s="66" t="s">
        <v>66</v>
      </c>
      <c r="L12" s="78"/>
      <c r="M12" s="77"/>
    </row>
    <row r="13" spans="1:13" s="79" customFormat="1" x14ac:dyDescent="0.35">
      <c r="A13" s="59"/>
      <c r="B13" s="83"/>
      <c r="C13" s="81"/>
      <c r="D13" s="74"/>
      <c r="E13" s="74"/>
      <c r="F13" s="74"/>
      <c r="G13" s="74"/>
      <c r="H13" s="74"/>
      <c r="I13" s="74"/>
      <c r="J13" s="77"/>
      <c r="K13" s="66"/>
      <c r="L13" s="74"/>
      <c r="M13" s="77"/>
    </row>
    <row r="14" spans="1:13" s="79" customFormat="1" x14ac:dyDescent="0.35">
      <c r="A14" s="59"/>
      <c r="B14" s="83" t="s">
        <v>63</v>
      </c>
      <c r="C14" s="319">
        <v>0.3</v>
      </c>
      <c r="D14" s="75">
        <v>0.3</v>
      </c>
      <c r="E14" s="82">
        <f>D14</f>
        <v>0.3</v>
      </c>
      <c r="F14" s="82">
        <f t="shared" ref="F14:I14" si="3">E14</f>
        <v>0.3</v>
      </c>
      <c r="G14" s="82">
        <f t="shared" si="3"/>
        <v>0.3</v>
      </c>
      <c r="H14" s="82">
        <f t="shared" si="3"/>
        <v>0.3</v>
      </c>
      <c r="I14" s="82">
        <f t="shared" si="3"/>
        <v>0.3</v>
      </c>
      <c r="J14" s="77"/>
      <c r="K14" s="66" t="s">
        <v>64</v>
      </c>
      <c r="L14" s="78"/>
      <c r="M14" s="77"/>
    </row>
    <row r="15" spans="1:13" s="79" customFormat="1" x14ac:dyDescent="0.35">
      <c r="A15" s="59"/>
      <c r="B15" s="83"/>
      <c r="C15" s="74"/>
      <c r="D15" s="74"/>
      <c r="E15" s="74"/>
      <c r="F15" s="74"/>
      <c r="G15" s="74"/>
      <c r="H15" s="74"/>
      <c r="I15" s="74"/>
      <c r="J15" s="77"/>
      <c r="K15" s="66"/>
      <c r="L15" s="74"/>
      <c r="M15" s="77"/>
    </row>
    <row r="16" spans="1:13" s="79" customFormat="1" x14ac:dyDescent="0.35">
      <c r="A16" s="59"/>
      <c r="B16" s="23" t="s">
        <v>99</v>
      </c>
      <c r="C16" s="319">
        <v>0</v>
      </c>
      <c r="D16" s="75">
        <v>0</v>
      </c>
      <c r="E16" s="82">
        <f>D16</f>
        <v>0</v>
      </c>
      <c r="F16" s="82">
        <f t="shared" ref="F16:I16" si="4">E16</f>
        <v>0</v>
      </c>
      <c r="G16" s="82">
        <f t="shared" si="4"/>
        <v>0</v>
      </c>
      <c r="H16" s="82">
        <f t="shared" si="4"/>
        <v>0</v>
      </c>
      <c r="I16" s="82">
        <f t="shared" si="4"/>
        <v>0</v>
      </c>
      <c r="J16" s="77"/>
      <c r="K16" s="66" t="s">
        <v>65</v>
      </c>
      <c r="L16" s="74"/>
      <c r="M16" s="77"/>
    </row>
    <row r="17" spans="1:13" s="79" customFormat="1" x14ac:dyDescent="0.35">
      <c r="A17" s="59"/>
      <c r="B17" s="108" t="s">
        <v>100</v>
      </c>
      <c r="C17" s="74"/>
      <c r="D17" s="74"/>
      <c r="E17" s="74"/>
      <c r="F17" s="74"/>
      <c r="G17" s="74"/>
      <c r="H17" s="74"/>
      <c r="I17" s="74"/>
      <c r="J17" s="77"/>
      <c r="K17" s="66"/>
      <c r="L17" s="74"/>
      <c r="M17" s="77"/>
    </row>
    <row r="18" spans="1:13" s="79" customFormat="1" x14ac:dyDescent="0.35">
      <c r="A18" s="59"/>
      <c r="B18" s="108"/>
      <c r="C18" s="74"/>
      <c r="D18" s="74"/>
      <c r="E18" s="74"/>
      <c r="F18" s="74"/>
      <c r="G18" s="74"/>
      <c r="H18" s="74"/>
      <c r="I18" s="74"/>
      <c r="J18" s="77"/>
      <c r="K18" s="66"/>
      <c r="L18" s="74"/>
      <c r="M18" s="77"/>
    </row>
    <row r="19" spans="1:13" s="79" customFormat="1" x14ac:dyDescent="0.35">
      <c r="A19" s="59"/>
      <c r="B19" s="83" t="s">
        <v>101</v>
      </c>
      <c r="C19" s="319">
        <v>0.45</v>
      </c>
      <c r="D19" s="320"/>
      <c r="E19" s="75">
        <v>0.45</v>
      </c>
      <c r="F19" s="82">
        <f t="shared" ref="F19:I19" si="5">E19</f>
        <v>0.45</v>
      </c>
      <c r="G19" s="82">
        <f t="shared" si="5"/>
        <v>0.45</v>
      </c>
      <c r="H19" s="82">
        <f t="shared" si="5"/>
        <v>0.45</v>
      </c>
      <c r="I19" s="82">
        <f t="shared" si="5"/>
        <v>0.45</v>
      </c>
      <c r="J19" s="77"/>
      <c r="K19" s="85" t="s">
        <v>102</v>
      </c>
      <c r="L19" s="78"/>
      <c r="M19" s="77"/>
    </row>
    <row r="20" spans="1:13" s="79" customFormat="1" x14ac:dyDescent="0.35">
      <c r="A20" s="59"/>
      <c r="B20" s="19"/>
      <c r="C20" s="74"/>
      <c r="D20" s="74"/>
      <c r="E20" s="74"/>
      <c r="F20" s="74"/>
      <c r="G20" s="74"/>
      <c r="H20" s="74"/>
      <c r="I20" s="74"/>
      <c r="J20" s="77"/>
      <c r="K20" s="66"/>
      <c r="L20" s="74"/>
      <c r="M20" s="77"/>
    </row>
    <row r="29" spans="1:13" x14ac:dyDescent="0.35">
      <c r="E29" s="84"/>
      <c r="F29" s="84"/>
    </row>
  </sheetData>
  <sheetProtection algorithmName="SHA-512" hashValue="eUWT+kRNUGqm5kLAKCpdP8xv5/3ZmZ726znMgoLXZLghia/fad2auH5qh9pHnESLTvQCAvuJO4IPyRvwUSNl6w==" saltValue="JKKdcofQw1bdQmmE3Ut+nA==" spinCount="100000" sheet="1" objects="1" scenarios="1"/>
  <pageMargins left="0.25" right="0.25" top="0.25" bottom="0.25" header="0.3" footer="0.3"/>
  <pageSetup scale="40" fitToHeight="0" orientation="portrait"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H50"/>
  <sheetViews>
    <sheetView showGridLines="0" zoomScale="90" zoomScaleNormal="90" workbookViewId="0"/>
  </sheetViews>
  <sheetFormatPr defaultRowHeight="14.5" x14ac:dyDescent="0.35"/>
  <cols>
    <col min="1" max="1" width="55.7265625" customWidth="1"/>
    <col min="2" max="2" width="17.26953125" customWidth="1"/>
    <col min="3" max="7" width="16.26953125" customWidth="1"/>
    <col min="8" max="8" width="97.7265625" customWidth="1"/>
    <col min="10" max="11" width="23.54296875" customWidth="1"/>
  </cols>
  <sheetData>
    <row r="1" spans="1:8" ht="18.5" x14ac:dyDescent="0.45">
      <c r="A1" s="367" t="str">
        <f>About!A1</f>
        <v>rpk GROUP | Advising Redesign Financial Model</v>
      </c>
      <c r="B1" s="367"/>
      <c r="C1" s="365"/>
      <c r="D1" s="367"/>
      <c r="E1" s="365"/>
      <c r="F1" s="365"/>
      <c r="G1" s="365"/>
      <c r="H1" s="365"/>
    </row>
    <row r="2" spans="1:8" ht="15.5" x14ac:dyDescent="0.35">
      <c r="A2" s="364" t="str">
        <f>About!A2</f>
        <v>In Collaboration with American Association of State Colleges and Universities (AASCU) &amp; Advising Success Network (ASN)</v>
      </c>
      <c r="B2" s="364"/>
      <c r="C2" s="364"/>
      <c r="D2" s="364"/>
      <c r="E2" s="368"/>
      <c r="F2" s="368"/>
      <c r="G2" s="368"/>
      <c r="H2" s="368"/>
    </row>
    <row r="3" spans="1:8" ht="18.5" x14ac:dyDescent="0.45">
      <c r="A3" s="34" t="s">
        <v>295</v>
      </c>
      <c r="B3" s="369"/>
      <c r="C3" s="369"/>
      <c r="D3" s="369"/>
      <c r="E3" s="369"/>
      <c r="F3" s="369"/>
      <c r="G3" s="369"/>
      <c r="H3" s="369"/>
    </row>
    <row r="4" spans="1:8" ht="18.5" x14ac:dyDescent="0.45">
      <c r="A4" s="370"/>
      <c r="B4" s="371"/>
      <c r="C4" s="371"/>
      <c r="D4" s="371"/>
      <c r="E4" s="371"/>
      <c r="F4" s="371"/>
      <c r="G4" s="371"/>
      <c r="H4" s="371"/>
    </row>
    <row r="5" spans="1:8" ht="18.5" x14ac:dyDescent="0.45">
      <c r="A5" s="18" t="s">
        <v>22</v>
      </c>
      <c r="B5" s="366"/>
      <c r="C5" s="366"/>
      <c r="D5" s="366"/>
      <c r="E5" s="366"/>
      <c r="F5" s="366"/>
      <c r="G5" s="366"/>
      <c r="H5" s="366"/>
    </row>
    <row r="6" spans="1:8" ht="15.5" x14ac:dyDescent="0.35">
      <c r="A6" s="11"/>
      <c r="C6" s="14"/>
      <c r="D6" s="14"/>
      <c r="E6" s="14"/>
      <c r="F6" s="14"/>
      <c r="G6" s="14"/>
    </row>
    <row r="7" spans="1:8" ht="15.5" x14ac:dyDescent="0.35">
      <c r="A7" s="11" t="s">
        <v>18</v>
      </c>
      <c r="C7" s="22"/>
      <c r="D7" s="14"/>
      <c r="E7" s="14"/>
      <c r="F7" s="14"/>
      <c r="G7" s="14"/>
    </row>
    <row r="8" spans="1:8" ht="27" customHeight="1" x14ac:dyDescent="0.35">
      <c r="A8" s="16"/>
      <c r="B8" s="4" t="s">
        <v>0</v>
      </c>
      <c r="C8" s="4" t="s">
        <v>1</v>
      </c>
      <c r="D8" s="4" t="s">
        <v>2</v>
      </c>
      <c r="E8" s="4" t="s">
        <v>3</v>
      </c>
      <c r="F8" s="4" t="s">
        <v>4</v>
      </c>
      <c r="G8" s="4" t="s">
        <v>5</v>
      </c>
      <c r="H8" s="5" t="s">
        <v>6</v>
      </c>
    </row>
    <row r="9" spans="1:8" ht="29" x14ac:dyDescent="0.35">
      <c r="A9" s="341" t="s">
        <v>124</v>
      </c>
      <c r="B9" s="342">
        <f>'Advising Activity &amp; ROI Levers'!E18</f>
        <v>0.66200000000000003</v>
      </c>
      <c r="C9" s="342">
        <f>'Advising Activity &amp; ROI Levers'!F18</f>
        <v>0.66200000000000003</v>
      </c>
      <c r="D9" s="342">
        <f>'Advising Activity &amp; ROI Levers'!G18</f>
        <v>0.66700000000000004</v>
      </c>
      <c r="E9" s="342">
        <f>'Advising Activity &amp; ROI Levers'!H18</f>
        <v>0.67200000000000004</v>
      </c>
      <c r="F9" s="342">
        <f>'Advising Activity &amp; ROI Levers'!I18</f>
        <v>0.67700000000000005</v>
      </c>
      <c r="G9" s="342">
        <f>'Advising Activity &amp; ROI Levers'!J18</f>
        <v>0.68200000000000005</v>
      </c>
      <c r="H9" s="361" t="s">
        <v>23</v>
      </c>
    </row>
    <row r="10" spans="1:8" x14ac:dyDescent="0.35">
      <c r="A10" s="343" t="s">
        <v>137</v>
      </c>
      <c r="B10" s="344"/>
      <c r="C10" s="342">
        <f>'Advising Activity &amp; ROI Levers'!F19</f>
        <v>0</v>
      </c>
      <c r="D10" s="342">
        <f>'Advising Activity &amp; ROI Levers'!G19</f>
        <v>5.0000000000000044E-3</v>
      </c>
      <c r="E10" s="342">
        <f>'Advising Activity &amp; ROI Levers'!H19</f>
        <v>5.0000000000000044E-3</v>
      </c>
      <c r="F10" s="342">
        <f>'Advising Activity &amp; ROI Levers'!I19</f>
        <v>5.0000000000000044E-3</v>
      </c>
      <c r="G10" s="342">
        <f>'Advising Activity &amp; ROI Levers'!J19</f>
        <v>5.0000000000000044E-3</v>
      </c>
      <c r="H10" s="361"/>
    </row>
    <row r="11" spans="1:8" x14ac:dyDescent="0.35">
      <c r="A11" s="343"/>
      <c r="B11" s="344"/>
      <c r="C11" s="345"/>
      <c r="D11" s="345"/>
      <c r="E11" s="345"/>
      <c r="F11" s="345"/>
      <c r="G11" s="345"/>
      <c r="H11" s="361"/>
    </row>
    <row r="12" spans="1:8" x14ac:dyDescent="0.35">
      <c r="A12" s="343" t="s">
        <v>256</v>
      </c>
      <c r="B12" s="344"/>
      <c r="C12" s="346">
        <f>'Advising Activity &amp; ROI Levers'!F11-('Advising Activity &amp; ROI Levers'!F11*'Advising Activity &amp; ROI Levers'!F12)</f>
        <v>3900</v>
      </c>
      <c r="D12" s="346">
        <f>'Advising Activity &amp; ROI Levers'!G11-('Advising Activity &amp; ROI Levers'!G11*'Advising Activity &amp; ROI Levers'!G12)</f>
        <v>4000</v>
      </c>
      <c r="E12" s="346">
        <f>'Advising Activity &amp; ROI Levers'!H11-('Advising Activity &amp; ROI Levers'!H11*'Advising Activity &amp; ROI Levers'!H12)</f>
        <v>4250</v>
      </c>
      <c r="F12" s="346">
        <f>'Advising Activity &amp; ROI Levers'!I11-('Advising Activity &amp; ROI Levers'!I11*'Advising Activity &amp; ROI Levers'!I12)</f>
        <v>4300</v>
      </c>
      <c r="G12" s="346">
        <f>'Advising Activity &amp; ROI Levers'!J11-('Advising Activity &amp; ROI Levers'!J11*'Advising Activity &amp; ROI Levers'!J12)</f>
        <v>4400</v>
      </c>
      <c r="H12" s="361"/>
    </row>
    <row r="13" spans="1:8" ht="29" x14ac:dyDescent="0.35">
      <c r="A13" s="347" t="s">
        <v>21</v>
      </c>
      <c r="B13" s="344"/>
      <c r="C13" s="344"/>
      <c r="D13" s="348">
        <f>C12*0.01</f>
        <v>39</v>
      </c>
      <c r="E13" s="348">
        <f t="shared" ref="E13:G13" si="0">D12*0.01</f>
        <v>40</v>
      </c>
      <c r="F13" s="348">
        <f t="shared" si="0"/>
        <v>42.5</v>
      </c>
      <c r="G13" s="348">
        <f t="shared" si="0"/>
        <v>43</v>
      </c>
      <c r="H13" s="362" t="s">
        <v>294</v>
      </c>
    </row>
    <row r="14" spans="1:8" x14ac:dyDescent="0.35">
      <c r="A14" s="349" t="s">
        <v>139</v>
      </c>
      <c r="B14" s="344"/>
      <c r="C14" s="344"/>
      <c r="D14" s="348">
        <f>ROUND(D13*'Institution Data'!G13,0)</f>
        <v>35</v>
      </c>
      <c r="E14" s="348">
        <f>ROUND(E13*'Institution Data'!H13,0)</f>
        <v>36</v>
      </c>
      <c r="F14" s="348">
        <f>ROUND(F13*'Institution Data'!I13,0)</f>
        <v>38</v>
      </c>
      <c r="G14" s="348">
        <f>ROUND(G13*'Institution Data'!J13,0)</f>
        <v>39</v>
      </c>
      <c r="H14" s="362"/>
    </row>
    <row r="15" spans="1:8" x14ac:dyDescent="0.35">
      <c r="A15" s="349" t="s">
        <v>138</v>
      </c>
      <c r="B15" s="344"/>
      <c r="C15" s="344"/>
      <c r="D15" s="348">
        <f>ROUND(D13-D14,0)</f>
        <v>4</v>
      </c>
      <c r="E15" s="348">
        <f t="shared" ref="E15:G15" si="1">ROUND(E13-E14,0)</f>
        <v>4</v>
      </c>
      <c r="F15" s="348">
        <f t="shared" si="1"/>
        <v>5</v>
      </c>
      <c r="G15" s="348">
        <f t="shared" si="1"/>
        <v>4</v>
      </c>
      <c r="H15" s="362"/>
    </row>
    <row r="16" spans="1:8" x14ac:dyDescent="0.35">
      <c r="A16" s="350" t="s">
        <v>11</v>
      </c>
      <c r="B16" s="351">
        <f>B26</f>
        <v>23.8</v>
      </c>
      <c r="C16" s="351">
        <f>IF(C26=0,$B16,C26)</f>
        <v>23.9</v>
      </c>
      <c r="D16" s="351">
        <f>IF(D26=0,$B16,D26)</f>
        <v>24</v>
      </c>
      <c r="E16" s="351">
        <f>IF(E26=0,$B16,E26)</f>
        <v>24.1</v>
      </c>
      <c r="F16" s="351">
        <f>IF(F26=0,$B16,F26)</f>
        <v>24.2</v>
      </c>
      <c r="G16" s="351">
        <f>IF(G26=0,$B16,G26)</f>
        <v>24.3</v>
      </c>
      <c r="H16" s="361" t="s">
        <v>29</v>
      </c>
    </row>
    <row r="17" spans="1:8" x14ac:dyDescent="0.35">
      <c r="A17" s="341" t="s">
        <v>135</v>
      </c>
      <c r="B17" s="352">
        <f>SUM('Institution Data'!E24,'Institution Data'!E26,'Institution Data'!E30)</f>
        <v>905.17</v>
      </c>
      <c r="C17" s="352">
        <f>SUM('Institution Data'!F24,'Institution Data'!F26,'Institution Data'!F30)</f>
        <v>711.44999999999993</v>
      </c>
      <c r="D17" s="352">
        <f>SUM('Institution Data'!G24,'Institution Data'!G26,'Institution Data'!G30)</f>
        <v>725.68000000000006</v>
      </c>
      <c r="E17" s="352">
        <f>SUM('Institution Data'!H24,'Institution Data'!H26,'Institution Data'!H30)</f>
        <v>740.18999999999994</v>
      </c>
      <c r="F17" s="352">
        <f>SUM('Institution Data'!I24,'Institution Data'!I26,'Institution Data'!I30)</f>
        <v>755</v>
      </c>
      <c r="G17" s="352">
        <f>SUM('Institution Data'!J24,'Institution Data'!J26,'Institution Data'!J30)</f>
        <v>770.1</v>
      </c>
      <c r="H17" s="363"/>
    </row>
    <row r="18" spans="1:8" x14ac:dyDescent="0.35">
      <c r="A18" s="341" t="s">
        <v>136</v>
      </c>
      <c r="B18" s="352">
        <f>SUM('Institution Data'!E25,'Institution Data'!E26,'Institution Data'!E30)</f>
        <v>1447.17</v>
      </c>
      <c r="C18" s="352">
        <f>SUM('Institution Data'!F25,'Institution Data'!F26,'Institution Data'!F30)</f>
        <v>1264.2900000000002</v>
      </c>
      <c r="D18" s="352">
        <f>SUM('Institution Data'!G25,'Institution Data'!G26,'Institution Data'!G30)</f>
        <v>1289.58</v>
      </c>
      <c r="E18" s="352">
        <f>SUM('Institution Data'!H25,'Institution Data'!H26,'Institution Data'!H30)</f>
        <v>1315.36</v>
      </c>
      <c r="F18" s="352">
        <f>SUM('Institution Data'!I25,'Institution Data'!I26,'Institution Data'!I30)</f>
        <v>1341.67</v>
      </c>
      <c r="G18" s="352">
        <f>SUM('Institution Data'!J25,'Institution Data'!J26,'Institution Data'!J30)</f>
        <v>1368.51</v>
      </c>
      <c r="H18" s="363"/>
    </row>
    <row r="19" spans="1:8" ht="43.5" x14ac:dyDescent="0.35">
      <c r="A19" s="341" t="s">
        <v>140</v>
      </c>
      <c r="B19" s="344"/>
      <c r="C19" s="344"/>
      <c r="D19" s="353">
        <f>IF(D9&lt;&gt;0,((D14*(D10*100))*D16)*D17,"n/a")</f>
        <v>304785.60000000027</v>
      </c>
      <c r="E19" s="353">
        <f t="shared" ref="E19:G19" si="2">IF(E9&lt;&gt;0,((E14*(E10*100))*E16)*E17,"n/a")</f>
        <v>321094.42200000025</v>
      </c>
      <c r="F19" s="353">
        <f t="shared" si="2"/>
        <v>347149.00000000029</v>
      </c>
      <c r="G19" s="353">
        <f t="shared" si="2"/>
        <v>364911.88500000036</v>
      </c>
      <c r="H19" s="26" t="s">
        <v>43</v>
      </c>
    </row>
    <row r="20" spans="1:8" x14ac:dyDescent="0.35">
      <c r="A20" s="341" t="s">
        <v>141</v>
      </c>
      <c r="B20" s="344"/>
      <c r="C20" s="344"/>
      <c r="D20" s="353">
        <f>IF(D9&lt;&gt;0,((D15*(D10*100))*D16)*D18,"n/a")</f>
        <v>61899.840000000055</v>
      </c>
      <c r="E20" s="353">
        <f t="shared" ref="E20:G20" si="3">IF(E9&lt;&gt;0,((E15*(E10*100))*E16)*E18,"n/a")</f>
        <v>63400.352000000057</v>
      </c>
      <c r="F20" s="353">
        <f t="shared" si="3"/>
        <v>81171.035000000076</v>
      </c>
      <c r="G20" s="353">
        <f t="shared" si="3"/>
        <v>66509.586000000054</v>
      </c>
      <c r="H20" s="26"/>
    </row>
    <row r="21" spans="1:8" x14ac:dyDescent="0.35">
      <c r="A21" s="341" t="s">
        <v>12</v>
      </c>
      <c r="B21" s="344"/>
      <c r="C21" s="344"/>
      <c r="D21" s="354">
        <f>SUM(D19:D20)</f>
        <v>366685.44000000029</v>
      </c>
      <c r="E21" s="354">
        <f t="shared" ref="E21:G21" si="4">SUM(E19:E20)</f>
        <v>384494.77400000033</v>
      </c>
      <c r="F21" s="354">
        <f t="shared" si="4"/>
        <v>428320.03500000038</v>
      </c>
      <c r="G21" s="354">
        <f t="shared" si="4"/>
        <v>431421.47100000043</v>
      </c>
      <c r="H21" s="26"/>
    </row>
    <row r="22" spans="1:8" x14ac:dyDescent="0.35">
      <c r="A22" s="10"/>
      <c r="B22" s="1"/>
      <c r="C22" s="15"/>
      <c r="D22" s="15"/>
      <c r="E22" s="15"/>
      <c r="F22" s="15"/>
      <c r="G22" s="15"/>
    </row>
    <row r="23" spans="1:8" x14ac:dyDescent="0.35">
      <c r="A23" s="10"/>
      <c r="B23" s="1"/>
      <c r="C23" s="15"/>
      <c r="D23" s="15"/>
      <c r="E23" s="15"/>
      <c r="F23" s="15"/>
      <c r="G23" s="15"/>
    </row>
    <row r="24" spans="1:8" ht="15.5" x14ac:dyDescent="0.35">
      <c r="A24" s="17" t="s">
        <v>17</v>
      </c>
      <c r="B24" s="1"/>
      <c r="C24" s="22"/>
      <c r="D24" s="15"/>
      <c r="E24" s="15"/>
      <c r="F24" s="15"/>
      <c r="G24" s="15"/>
    </row>
    <row r="25" spans="1:8" ht="27" customHeight="1" x14ac:dyDescent="0.35">
      <c r="A25" s="9"/>
      <c r="B25" s="4" t="s">
        <v>0</v>
      </c>
      <c r="C25" s="4" t="s">
        <v>1</v>
      </c>
      <c r="D25" s="4" t="s">
        <v>2</v>
      </c>
      <c r="E25" s="4" t="s">
        <v>3</v>
      </c>
      <c r="F25" s="4" t="s">
        <v>4</v>
      </c>
      <c r="G25" s="4" t="s">
        <v>5</v>
      </c>
      <c r="H25" s="5" t="s">
        <v>6</v>
      </c>
    </row>
    <row r="26" spans="1:8" x14ac:dyDescent="0.35">
      <c r="A26" s="343" t="s">
        <v>15</v>
      </c>
      <c r="B26" s="351">
        <f>'Advising Activity &amp; ROI Levers'!E22</f>
        <v>23.8</v>
      </c>
      <c r="C26" s="351">
        <f>'Advising Activity &amp; ROI Levers'!F22</f>
        <v>23.9</v>
      </c>
      <c r="D26" s="351">
        <f>'Advising Activity &amp; ROI Levers'!G22</f>
        <v>24</v>
      </c>
      <c r="E26" s="351">
        <f>'Advising Activity &amp; ROI Levers'!H22</f>
        <v>24.1</v>
      </c>
      <c r="F26" s="351">
        <f>'Advising Activity &amp; ROI Levers'!I22</f>
        <v>24.2</v>
      </c>
      <c r="G26" s="351">
        <f>'Advising Activity &amp; ROI Levers'!J22</f>
        <v>24.3</v>
      </c>
      <c r="H26" s="361" t="s">
        <v>37</v>
      </c>
    </row>
    <row r="27" spans="1:8" ht="31.5" customHeight="1" x14ac:dyDescent="0.35">
      <c r="A27" s="355" t="s">
        <v>25</v>
      </c>
      <c r="B27" s="344"/>
      <c r="C27" s="348">
        <f>'Advising Activity &amp; ROI Levers'!F23</f>
        <v>9.9999999999997868E-2</v>
      </c>
      <c r="D27" s="348">
        <f t="shared" ref="D27:G27" si="5">D26-C26</f>
        <v>0.10000000000000142</v>
      </c>
      <c r="E27" s="348">
        <f t="shared" si="5"/>
        <v>0.10000000000000142</v>
      </c>
      <c r="F27" s="348">
        <f t="shared" si="5"/>
        <v>9.9999999999997868E-2</v>
      </c>
      <c r="G27" s="348">
        <f t="shared" si="5"/>
        <v>0.10000000000000142</v>
      </c>
      <c r="H27" s="26" t="s">
        <v>293</v>
      </c>
    </row>
    <row r="28" spans="1:8" ht="15.75" customHeight="1" x14ac:dyDescent="0.35">
      <c r="A28" s="355"/>
      <c r="B28" s="344"/>
      <c r="C28" s="348"/>
      <c r="D28" s="348"/>
      <c r="E28" s="348"/>
      <c r="F28" s="348"/>
      <c r="G28" s="348"/>
      <c r="H28" s="26"/>
    </row>
    <row r="29" spans="1:8" x14ac:dyDescent="0.35">
      <c r="A29" s="356" t="s">
        <v>16</v>
      </c>
      <c r="B29" s="344"/>
      <c r="C29" s="357">
        <f>'Advising Activity &amp; ROI Levers'!F11</f>
        <v>3900</v>
      </c>
      <c r="D29" s="357">
        <f>'Advising Activity &amp; ROI Levers'!G11</f>
        <v>4000</v>
      </c>
      <c r="E29" s="357">
        <f>'Advising Activity &amp; ROI Levers'!H11</f>
        <v>4250</v>
      </c>
      <c r="F29" s="357">
        <f>'Advising Activity &amp; ROI Levers'!I11</f>
        <v>4300</v>
      </c>
      <c r="G29" s="357">
        <f>'Advising Activity &amp; ROI Levers'!J11</f>
        <v>4400</v>
      </c>
      <c r="H29" s="362" t="s">
        <v>292</v>
      </c>
    </row>
    <row r="30" spans="1:8" x14ac:dyDescent="0.35">
      <c r="A30" s="349" t="s">
        <v>139</v>
      </c>
      <c r="B30" s="344"/>
      <c r="C30" s="348">
        <f>ROUND(C29*'Institution Data'!F13,0)</f>
        <v>3510</v>
      </c>
      <c r="D30" s="348">
        <f>ROUND(D29*'Institution Data'!G13,0)</f>
        <v>3600</v>
      </c>
      <c r="E30" s="348">
        <f>ROUND(E29*'Institution Data'!H13,0)</f>
        <v>3825</v>
      </c>
      <c r="F30" s="348">
        <f>ROUND(F29*'Institution Data'!I13,0)</f>
        <v>3870</v>
      </c>
      <c r="G30" s="348">
        <f>ROUND(G29*'Institution Data'!J13,0)</f>
        <v>3960</v>
      </c>
      <c r="H30" s="362"/>
    </row>
    <row r="31" spans="1:8" x14ac:dyDescent="0.35">
      <c r="A31" s="349" t="s">
        <v>138</v>
      </c>
      <c r="B31" s="344"/>
      <c r="C31" s="348">
        <f>ROUND(C29-C30,0)</f>
        <v>390</v>
      </c>
      <c r="D31" s="348">
        <f>ROUND(D29-D30,0)</f>
        <v>400</v>
      </c>
      <c r="E31" s="348">
        <f t="shared" ref="E31:G31" si="6">ROUND(E29-E30,0)</f>
        <v>425</v>
      </c>
      <c r="F31" s="348">
        <f t="shared" si="6"/>
        <v>430</v>
      </c>
      <c r="G31" s="348">
        <f t="shared" si="6"/>
        <v>440</v>
      </c>
      <c r="H31" s="362"/>
    </row>
    <row r="32" spans="1:8" x14ac:dyDescent="0.35">
      <c r="A32" s="358"/>
      <c r="B32" s="344"/>
      <c r="C32" s="357"/>
      <c r="D32" s="357"/>
      <c r="E32" s="357"/>
      <c r="F32" s="357"/>
      <c r="G32" s="357"/>
      <c r="H32" s="362"/>
    </row>
    <row r="33" spans="1:8" ht="15" customHeight="1" x14ac:dyDescent="0.35">
      <c r="A33" s="341" t="s">
        <v>143</v>
      </c>
      <c r="B33" s="344"/>
      <c r="C33" s="359">
        <f>SUM('Institution Data'!F24,'Institution Data'!F26)</f>
        <v>711.44999999999993</v>
      </c>
      <c r="D33" s="359">
        <f>SUM('Institution Data'!G24,'Institution Data'!G26)</f>
        <v>725.68000000000006</v>
      </c>
      <c r="E33" s="359">
        <f>SUM('Institution Data'!H24,'Institution Data'!H26)</f>
        <v>740.18999999999994</v>
      </c>
      <c r="F33" s="359">
        <f>SUM('Institution Data'!I24,'Institution Data'!I26)</f>
        <v>755</v>
      </c>
      <c r="G33" s="359">
        <f>SUM('Institution Data'!J24,'Institution Data'!J26)</f>
        <v>770.1</v>
      </c>
      <c r="H33" s="26"/>
    </row>
    <row r="34" spans="1:8" ht="15" customHeight="1" x14ac:dyDescent="0.35">
      <c r="A34" s="341" t="s">
        <v>142</v>
      </c>
      <c r="B34" s="344"/>
      <c r="C34" s="359">
        <f>SUM('Institution Data'!F25,'Institution Data'!F26)</f>
        <v>1264.2900000000002</v>
      </c>
      <c r="D34" s="359">
        <f>SUM('Institution Data'!G25,'Institution Data'!G26)</f>
        <v>1289.58</v>
      </c>
      <c r="E34" s="359">
        <f>SUM('Institution Data'!H25,'Institution Data'!H26)</f>
        <v>1315.36</v>
      </c>
      <c r="F34" s="359">
        <f>SUM('Institution Data'!I25,'Institution Data'!I26)</f>
        <v>1341.67</v>
      </c>
      <c r="G34" s="359">
        <f>SUM('Institution Data'!J25,'Institution Data'!J26)</f>
        <v>1368.51</v>
      </c>
      <c r="H34" s="26"/>
    </row>
    <row r="35" spans="1:8" x14ac:dyDescent="0.35">
      <c r="A35" s="344"/>
      <c r="B35" s="344"/>
      <c r="C35" s="344"/>
      <c r="D35" s="344"/>
      <c r="E35" s="344"/>
      <c r="F35" s="344"/>
      <c r="G35" s="344"/>
      <c r="H35" s="362"/>
    </row>
    <row r="36" spans="1:8" x14ac:dyDescent="0.35">
      <c r="A36" s="341" t="s">
        <v>140</v>
      </c>
      <c r="B36" s="344"/>
      <c r="C36" s="353">
        <f>IF(C26&lt;&gt;0,(C30*C27)*C33,0)</f>
        <v>249718.94999999463</v>
      </c>
      <c r="D36" s="353">
        <f t="shared" ref="D36:G36" si="7">IF(D26&lt;&gt;0,(D30*D27)*D33,0)</f>
        <v>261244.80000000374</v>
      </c>
      <c r="E36" s="353">
        <f t="shared" si="7"/>
        <v>283122.675000004</v>
      </c>
      <c r="F36" s="353">
        <f t="shared" si="7"/>
        <v>292184.99999999377</v>
      </c>
      <c r="G36" s="353">
        <f t="shared" si="7"/>
        <v>304959.60000000434</v>
      </c>
      <c r="H36" s="362"/>
    </row>
    <row r="37" spans="1:8" x14ac:dyDescent="0.35">
      <c r="A37" s="341" t="s">
        <v>141</v>
      </c>
      <c r="B37" s="344"/>
      <c r="C37" s="353">
        <f>IF(C26&lt;&gt;0,(C31*C27)*C34,0)</f>
        <v>49307.309999998957</v>
      </c>
      <c r="D37" s="353">
        <f t="shared" ref="D37:G37" si="8">IF(D26&lt;&gt;0,(D31*D27)*D34,0)</f>
        <v>51583.200000000732</v>
      </c>
      <c r="E37" s="353">
        <f t="shared" si="8"/>
        <v>55902.800000000789</v>
      </c>
      <c r="F37" s="353">
        <f t="shared" si="8"/>
        <v>57691.809999998775</v>
      </c>
      <c r="G37" s="353">
        <f t="shared" si="8"/>
        <v>60214.440000000854</v>
      </c>
      <c r="H37" s="362"/>
    </row>
    <row r="38" spans="1:8" x14ac:dyDescent="0.35">
      <c r="A38" s="341" t="s">
        <v>12</v>
      </c>
      <c r="B38" s="344"/>
      <c r="C38" s="360">
        <f>SUM(C36:C37)</f>
        <v>299026.25999999361</v>
      </c>
      <c r="D38" s="360">
        <f t="shared" ref="D38:G38" si="9">SUM(D36:D37)</f>
        <v>312828.00000000448</v>
      </c>
      <c r="E38" s="360">
        <f t="shared" si="9"/>
        <v>339025.47500000481</v>
      </c>
      <c r="F38" s="360">
        <f t="shared" si="9"/>
        <v>349876.80999999255</v>
      </c>
      <c r="G38" s="360">
        <f t="shared" si="9"/>
        <v>365174.04000000522</v>
      </c>
      <c r="H38" s="362"/>
    </row>
    <row r="44" spans="1:8" x14ac:dyDescent="0.35">
      <c r="A44" s="8"/>
      <c r="B44" s="12"/>
    </row>
    <row r="50" spans="7:7" x14ac:dyDescent="0.35">
      <c r="G50" s="1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6494-CFCD-465F-8A35-2B440675B89F}">
  <dimension ref="A1:D1"/>
  <sheetViews>
    <sheetView workbookViewId="0">
      <selection activeCell="D7" sqref="D7"/>
    </sheetView>
  </sheetViews>
  <sheetFormatPr defaultRowHeight="14.5" x14ac:dyDescent="0.35"/>
  <cols>
    <col min="2" max="2" width="9.1796875" style="27"/>
    <col min="3" max="3" width="25.7265625" style="27" customWidth="1"/>
    <col min="4" max="4" width="127.453125" customWidth="1"/>
  </cols>
  <sheetData>
    <row r="1" spans="1:4" x14ac:dyDescent="0.35">
      <c r="A1" s="1" t="s">
        <v>44</v>
      </c>
      <c r="B1" s="28" t="s">
        <v>45</v>
      </c>
      <c r="C1" s="28" t="s">
        <v>46</v>
      </c>
      <c r="D1" s="1"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E12B6-1C6C-457F-BEE2-7A41DFEC7E1E}">
  <dimension ref="A1:Z39"/>
  <sheetViews>
    <sheetView showGridLines="0" zoomScale="90" zoomScaleNormal="90" workbookViewId="0"/>
  </sheetViews>
  <sheetFormatPr defaultColWidth="9.1796875" defaultRowHeight="14.5" x14ac:dyDescent="0.35"/>
  <cols>
    <col min="1" max="1" width="5.7265625" style="2" customWidth="1"/>
    <col min="2" max="17" width="9.1796875" style="30"/>
    <col min="18" max="18" width="5.7265625" style="2" customWidth="1"/>
    <col min="19" max="16384" width="9.1796875" style="2"/>
  </cols>
  <sheetData>
    <row r="1" spans="1:26" ht="18.5" x14ac:dyDescent="0.45">
      <c r="A1" s="31" t="str">
        <f>About!A1</f>
        <v>rpk GROUP | Advising Redesign Financial Model</v>
      </c>
      <c r="B1" s="32"/>
      <c r="C1" s="32"/>
      <c r="D1" s="32"/>
      <c r="E1" s="32"/>
      <c r="F1" s="32"/>
      <c r="G1" s="32"/>
      <c r="H1" s="32"/>
      <c r="I1" s="32"/>
      <c r="J1" s="32"/>
      <c r="K1" s="32"/>
      <c r="L1" s="32"/>
      <c r="M1" s="32"/>
      <c r="N1" s="32"/>
      <c r="O1" s="32"/>
      <c r="P1" s="32"/>
      <c r="Q1" s="31"/>
      <c r="R1" s="31"/>
      <c r="S1" s="29"/>
      <c r="T1" s="29"/>
      <c r="U1" s="29"/>
      <c r="V1" s="29"/>
      <c r="W1" s="29"/>
      <c r="X1" s="29"/>
      <c r="Y1" s="29"/>
      <c r="Z1" s="29"/>
    </row>
    <row r="2" spans="1:26" ht="18.5" x14ac:dyDescent="0.45">
      <c r="A2" s="337" t="str">
        <f>About!A2</f>
        <v>In Collaboration with American Association of State Colleges and Universities (AASCU) &amp; Advising Success Network (ASN)</v>
      </c>
      <c r="B2" s="32"/>
      <c r="C2" s="32"/>
      <c r="D2" s="32"/>
      <c r="E2" s="32"/>
      <c r="F2" s="32"/>
      <c r="G2" s="32"/>
      <c r="H2" s="32"/>
      <c r="I2" s="32"/>
      <c r="J2" s="32"/>
      <c r="K2" s="32"/>
      <c r="L2" s="32"/>
      <c r="M2" s="32"/>
      <c r="N2" s="32"/>
      <c r="O2" s="32"/>
      <c r="P2" s="32"/>
      <c r="Q2" s="31"/>
      <c r="R2" s="31"/>
      <c r="S2" s="29"/>
      <c r="T2" s="29"/>
      <c r="U2" s="29"/>
      <c r="V2" s="29"/>
      <c r="W2" s="29"/>
      <c r="X2" s="29"/>
      <c r="Y2" s="29"/>
      <c r="Z2" s="29"/>
    </row>
    <row r="3" spans="1:26" ht="18.5" x14ac:dyDescent="0.45">
      <c r="A3" s="33" t="s">
        <v>54</v>
      </c>
      <c r="B3" s="34"/>
      <c r="C3" s="34"/>
      <c r="D3" s="34"/>
      <c r="E3" s="34"/>
      <c r="F3" s="34"/>
      <c r="G3" s="34"/>
      <c r="H3" s="34"/>
      <c r="I3" s="34"/>
      <c r="J3" s="34"/>
      <c r="K3" s="34"/>
      <c r="L3" s="34"/>
      <c r="M3" s="34"/>
      <c r="N3" s="34"/>
      <c r="O3" s="34"/>
      <c r="P3" s="34"/>
      <c r="Q3" s="33"/>
      <c r="R3" s="33"/>
      <c r="S3" s="29"/>
      <c r="T3" s="29"/>
      <c r="U3" s="29"/>
      <c r="V3" s="29"/>
      <c r="W3" s="29"/>
      <c r="X3" s="29"/>
      <c r="Y3" s="29"/>
      <c r="Z3" s="29"/>
    </row>
    <row r="4" spans="1:26" ht="18.5" x14ac:dyDescent="0.45">
      <c r="A4" s="44"/>
      <c r="B4" s="45"/>
      <c r="C4" s="45"/>
      <c r="D4" s="45"/>
      <c r="E4" s="45"/>
      <c r="F4" s="45"/>
      <c r="G4" s="45"/>
      <c r="H4" s="45"/>
      <c r="I4" s="45"/>
      <c r="J4" s="45"/>
      <c r="K4" s="45"/>
      <c r="L4" s="45"/>
      <c r="M4" s="45"/>
      <c r="N4" s="45"/>
      <c r="O4" s="45"/>
      <c r="P4" s="45"/>
      <c r="Q4" s="45"/>
      <c r="R4" s="45"/>
      <c r="S4" s="29"/>
      <c r="T4" s="29"/>
      <c r="U4" s="29"/>
      <c r="V4" s="29"/>
      <c r="W4" s="29"/>
      <c r="X4" s="29"/>
      <c r="Y4" s="29"/>
      <c r="Z4" s="29"/>
    </row>
    <row r="5" spans="1:26" ht="18.5" x14ac:dyDescent="0.45">
      <c r="A5" s="44"/>
      <c r="B5" s="339" t="s">
        <v>274</v>
      </c>
      <c r="C5" s="45"/>
      <c r="D5" s="45"/>
      <c r="E5" s="45"/>
      <c r="F5" s="45"/>
      <c r="G5" s="45"/>
      <c r="H5" s="45"/>
      <c r="I5" s="45"/>
      <c r="J5" s="45"/>
      <c r="K5" s="45"/>
      <c r="L5" s="45"/>
      <c r="M5" s="45"/>
      <c r="N5" s="45"/>
      <c r="O5" s="45"/>
      <c r="P5" s="45"/>
      <c r="Q5" s="45"/>
      <c r="R5" s="45"/>
      <c r="S5" s="29"/>
      <c r="T5" s="29"/>
      <c r="U5" s="29"/>
      <c r="V5" s="29"/>
      <c r="W5" s="29"/>
      <c r="X5" s="29"/>
      <c r="Y5" s="29"/>
      <c r="Z5" s="29"/>
    </row>
    <row r="6" spans="1:26" ht="18.5" x14ac:dyDescent="0.45">
      <c r="A6" s="44"/>
      <c r="B6" s="408" t="s">
        <v>273</v>
      </c>
      <c r="C6" s="408"/>
      <c r="D6" s="408"/>
      <c r="E6" s="408"/>
      <c r="F6" s="408"/>
      <c r="G6" s="408"/>
      <c r="H6" s="408"/>
      <c r="I6" s="408"/>
      <c r="J6" s="408"/>
      <c r="K6" s="408"/>
      <c r="L6" s="408"/>
      <c r="M6" s="45"/>
      <c r="N6" s="45"/>
      <c r="O6" s="45"/>
      <c r="P6" s="45"/>
      <c r="Q6" s="45"/>
      <c r="R6" s="45"/>
      <c r="S6" s="29"/>
      <c r="T6" s="29"/>
      <c r="U6" s="29"/>
      <c r="V6" s="29"/>
      <c r="W6" s="29"/>
      <c r="X6" s="29"/>
      <c r="Y6" s="29"/>
      <c r="Z6" s="29"/>
    </row>
    <row r="7" spans="1:26" x14ac:dyDescent="0.35">
      <c r="A7" s="3"/>
      <c r="B7" s="46"/>
      <c r="C7" s="46"/>
      <c r="D7" s="46"/>
      <c r="E7" s="46"/>
      <c r="F7" s="46"/>
      <c r="G7" s="46"/>
      <c r="H7" s="46"/>
      <c r="I7" s="46"/>
      <c r="J7" s="46"/>
      <c r="K7" s="46"/>
      <c r="L7" s="46"/>
      <c r="M7" s="46"/>
      <c r="N7" s="46"/>
      <c r="O7" s="46"/>
      <c r="P7" s="46"/>
      <c r="Q7" s="46"/>
      <c r="R7" s="3"/>
    </row>
    <row r="8" spans="1:26" ht="53.25" customHeight="1" x14ac:dyDescent="0.35">
      <c r="A8" s="3"/>
      <c r="B8" s="425" t="s">
        <v>276</v>
      </c>
      <c r="C8" s="426"/>
      <c r="D8" s="426"/>
      <c r="E8" s="426"/>
      <c r="F8" s="426"/>
      <c r="G8" s="426"/>
      <c r="H8" s="426"/>
      <c r="I8" s="426"/>
      <c r="J8" s="426"/>
      <c r="K8" s="426"/>
      <c r="L8" s="426"/>
      <c r="M8" s="426"/>
      <c r="N8" s="426"/>
      <c r="O8" s="426"/>
      <c r="P8" s="426"/>
      <c r="Q8" s="427"/>
      <c r="R8" s="3"/>
    </row>
    <row r="9" spans="1:26" ht="31.5" customHeight="1" x14ac:dyDescent="0.35">
      <c r="A9" s="3"/>
      <c r="B9" s="428" t="s">
        <v>240</v>
      </c>
      <c r="C9" s="429"/>
      <c r="D9" s="429"/>
      <c r="E9" s="429"/>
      <c r="F9" s="429"/>
      <c r="G9" s="429"/>
      <c r="H9" s="429"/>
      <c r="I9" s="429"/>
      <c r="J9" s="429"/>
      <c r="K9" s="429"/>
      <c r="L9" s="429"/>
      <c r="M9" s="429"/>
      <c r="N9" s="429"/>
      <c r="O9" s="429"/>
      <c r="P9" s="429"/>
      <c r="Q9" s="430"/>
      <c r="R9" s="3"/>
    </row>
    <row r="10" spans="1:26" x14ac:dyDescent="0.35">
      <c r="A10" s="3"/>
      <c r="B10" s="47"/>
      <c r="C10" s="48"/>
      <c r="D10" s="48"/>
      <c r="E10" s="48"/>
      <c r="F10" s="48"/>
      <c r="G10" s="48"/>
      <c r="H10" s="48"/>
      <c r="I10" s="48"/>
      <c r="J10" s="48"/>
      <c r="K10" s="48"/>
      <c r="L10" s="48"/>
      <c r="M10" s="48"/>
      <c r="N10" s="48"/>
      <c r="O10" s="48"/>
      <c r="P10" s="48"/>
      <c r="Q10" s="49"/>
      <c r="R10" s="3"/>
    </row>
    <row r="11" spans="1:26" ht="45.75" customHeight="1" x14ac:dyDescent="0.35">
      <c r="A11" s="3"/>
      <c r="B11" s="428" t="s">
        <v>277</v>
      </c>
      <c r="C11" s="429"/>
      <c r="D11" s="429"/>
      <c r="E11" s="429"/>
      <c r="F11" s="429"/>
      <c r="G11" s="429"/>
      <c r="H11" s="429"/>
      <c r="I11" s="429"/>
      <c r="J11" s="429"/>
      <c r="K11" s="429"/>
      <c r="L11" s="429"/>
      <c r="M11" s="429"/>
      <c r="N11" s="429"/>
      <c r="O11" s="429"/>
      <c r="P11" s="429"/>
      <c r="Q11" s="430"/>
      <c r="R11" s="3"/>
    </row>
    <row r="12" spans="1:26" x14ac:dyDescent="0.35">
      <c r="A12" s="3"/>
      <c r="B12" s="50"/>
      <c r="C12" s="46"/>
      <c r="D12" s="46"/>
      <c r="E12" s="46"/>
      <c r="F12" s="46"/>
      <c r="G12" s="46"/>
      <c r="H12" s="46"/>
      <c r="I12" s="46"/>
      <c r="J12" s="46"/>
      <c r="K12" s="46"/>
      <c r="L12" s="46"/>
      <c r="M12" s="46"/>
      <c r="N12" s="46"/>
      <c r="O12" s="46"/>
      <c r="P12" s="46"/>
      <c r="Q12" s="51"/>
      <c r="R12" s="3"/>
    </row>
    <row r="13" spans="1:26" ht="38.25" customHeight="1" x14ac:dyDescent="0.35">
      <c r="A13" s="3"/>
      <c r="B13" s="428" t="s">
        <v>286</v>
      </c>
      <c r="C13" s="429"/>
      <c r="D13" s="429"/>
      <c r="E13" s="429"/>
      <c r="F13" s="429"/>
      <c r="G13" s="429"/>
      <c r="H13" s="429"/>
      <c r="I13" s="429"/>
      <c r="J13" s="429"/>
      <c r="K13" s="429"/>
      <c r="L13" s="429"/>
      <c r="M13" s="429"/>
      <c r="N13" s="429"/>
      <c r="O13" s="429"/>
      <c r="P13" s="429"/>
      <c r="Q13" s="430"/>
      <c r="R13" s="3"/>
    </row>
    <row r="14" spans="1:26" ht="113.25" customHeight="1" x14ac:dyDescent="0.35">
      <c r="A14" s="3"/>
      <c r="B14" s="413" t="s">
        <v>281</v>
      </c>
      <c r="C14" s="414"/>
      <c r="D14" s="414"/>
      <c r="E14" s="414"/>
      <c r="F14" s="414"/>
      <c r="G14" s="414"/>
      <c r="H14" s="414"/>
      <c r="I14" s="414"/>
      <c r="J14" s="414"/>
      <c r="K14" s="414"/>
      <c r="L14" s="414"/>
      <c r="M14" s="414"/>
      <c r="N14" s="414"/>
      <c r="O14" s="414"/>
      <c r="P14" s="414"/>
      <c r="Q14" s="415"/>
      <c r="R14" s="3"/>
    </row>
    <row r="15" spans="1:26" ht="97.5" customHeight="1" x14ac:dyDescent="0.35">
      <c r="A15" s="3"/>
      <c r="B15" s="413" t="s">
        <v>280</v>
      </c>
      <c r="C15" s="414"/>
      <c r="D15" s="414"/>
      <c r="E15" s="414"/>
      <c r="F15" s="414"/>
      <c r="G15" s="414"/>
      <c r="H15" s="414"/>
      <c r="I15" s="414"/>
      <c r="J15" s="414"/>
      <c r="K15" s="414"/>
      <c r="L15" s="414"/>
      <c r="M15" s="414"/>
      <c r="N15" s="414"/>
      <c r="O15" s="414"/>
      <c r="P15" s="414"/>
      <c r="Q15" s="415"/>
      <c r="R15" s="3"/>
    </row>
    <row r="16" spans="1:26" ht="66" customHeight="1" x14ac:dyDescent="0.35">
      <c r="A16" s="3"/>
      <c r="B16" s="413" t="s">
        <v>290</v>
      </c>
      <c r="C16" s="414"/>
      <c r="D16" s="414"/>
      <c r="E16" s="414"/>
      <c r="F16" s="414"/>
      <c r="G16" s="414"/>
      <c r="H16" s="414"/>
      <c r="I16" s="414"/>
      <c r="J16" s="414"/>
      <c r="K16" s="414"/>
      <c r="L16" s="414"/>
      <c r="M16" s="414"/>
      <c r="N16" s="414"/>
      <c r="O16" s="414"/>
      <c r="P16" s="414"/>
      <c r="Q16" s="415"/>
      <c r="R16" s="3"/>
    </row>
    <row r="17" spans="1:18" ht="141.75" customHeight="1" x14ac:dyDescent="0.35">
      <c r="A17" s="3"/>
      <c r="B17" s="413" t="s">
        <v>279</v>
      </c>
      <c r="C17" s="414"/>
      <c r="D17" s="414"/>
      <c r="E17" s="414"/>
      <c r="F17" s="414"/>
      <c r="G17" s="414"/>
      <c r="H17" s="414"/>
      <c r="I17" s="414"/>
      <c r="J17" s="414"/>
      <c r="K17" s="414"/>
      <c r="L17" s="414"/>
      <c r="M17" s="414"/>
      <c r="N17" s="414"/>
      <c r="O17" s="414"/>
      <c r="P17" s="414"/>
      <c r="Q17" s="415"/>
      <c r="R17" s="3"/>
    </row>
    <row r="18" spans="1:18" ht="213" customHeight="1" x14ac:dyDescent="0.35">
      <c r="A18" s="3"/>
      <c r="B18" s="413" t="s">
        <v>278</v>
      </c>
      <c r="C18" s="414"/>
      <c r="D18" s="414"/>
      <c r="E18" s="414"/>
      <c r="F18" s="414"/>
      <c r="G18" s="414"/>
      <c r="H18" s="414"/>
      <c r="I18" s="414"/>
      <c r="J18" s="414"/>
      <c r="K18" s="414"/>
      <c r="L18" s="414"/>
      <c r="M18" s="414"/>
      <c r="N18" s="414"/>
      <c r="O18" s="414"/>
      <c r="P18" s="414"/>
      <c r="Q18" s="415"/>
      <c r="R18" s="3"/>
    </row>
    <row r="19" spans="1:18" ht="15" customHeight="1" x14ac:dyDescent="0.35">
      <c r="A19" s="3"/>
      <c r="B19" s="326"/>
      <c r="C19" s="327"/>
      <c r="D19" s="327"/>
      <c r="E19" s="327"/>
      <c r="F19" s="327"/>
      <c r="G19" s="327"/>
      <c r="H19" s="327"/>
      <c r="I19" s="327"/>
      <c r="J19" s="327"/>
      <c r="K19" s="327"/>
      <c r="L19" s="327"/>
      <c r="M19" s="327"/>
      <c r="N19" s="327"/>
      <c r="O19" s="327"/>
      <c r="P19" s="327"/>
      <c r="Q19" s="328"/>
      <c r="R19" s="3"/>
    </row>
    <row r="20" spans="1:18" ht="30" customHeight="1" x14ac:dyDescent="0.35">
      <c r="A20" s="3"/>
      <c r="B20" s="410" t="s">
        <v>282</v>
      </c>
      <c r="C20" s="411"/>
      <c r="D20" s="411"/>
      <c r="E20" s="411"/>
      <c r="F20" s="411"/>
      <c r="G20" s="411"/>
      <c r="H20" s="411"/>
      <c r="I20" s="411"/>
      <c r="J20" s="411"/>
      <c r="K20" s="411"/>
      <c r="L20" s="411"/>
      <c r="M20" s="411"/>
      <c r="N20" s="411"/>
      <c r="O20" s="411"/>
      <c r="P20" s="411"/>
      <c r="Q20" s="412"/>
      <c r="R20" s="3"/>
    </row>
    <row r="21" spans="1:18" x14ac:dyDescent="0.35">
      <c r="A21" s="3"/>
      <c r="B21" s="50"/>
      <c r="C21" s="46"/>
      <c r="D21" s="46"/>
      <c r="E21" s="46"/>
      <c r="F21" s="46"/>
      <c r="G21" s="46"/>
      <c r="H21" s="46"/>
      <c r="I21" s="46"/>
      <c r="J21" s="46"/>
      <c r="K21" s="46"/>
      <c r="L21" s="46"/>
      <c r="M21" s="46"/>
      <c r="N21" s="46"/>
      <c r="O21" s="46"/>
      <c r="P21" s="46"/>
      <c r="Q21" s="51"/>
      <c r="R21" s="3"/>
    </row>
    <row r="22" spans="1:18" s="30" customFormat="1" ht="46.5" customHeight="1" x14ac:dyDescent="0.35">
      <c r="A22" s="46"/>
      <c r="B22" s="434" t="s">
        <v>283</v>
      </c>
      <c r="C22" s="435"/>
      <c r="D22" s="435"/>
      <c r="E22" s="435"/>
      <c r="F22" s="435"/>
      <c r="G22" s="435"/>
      <c r="H22" s="435"/>
      <c r="I22" s="435"/>
      <c r="J22" s="435"/>
      <c r="K22" s="435"/>
      <c r="L22" s="435"/>
      <c r="M22" s="435"/>
      <c r="N22" s="435"/>
      <c r="O22" s="435"/>
      <c r="P22" s="435"/>
      <c r="Q22" s="436"/>
      <c r="R22" s="46"/>
    </row>
    <row r="23" spans="1:18" s="30" customFormat="1" ht="15" customHeight="1" x14ac:dyDescent="0.35">
      <c r="A23" s="46"/>
      <c r="B23" s="48"/>
      <c r="C23" s="48"/>
      <c r="D23" s="48"/>
      <c r="E23" s="48"/>
      <c r="F23" s="48"/>
      <c r="G23" s="48"/>
      <c r="H23" s="48"/>
      <c r="I23" s="48"/>
      <c r="J23" s="48"/>
      <c r="K23" s="48"/>
      <c r="L23" s="48"/>
      <c r="M23" s="48"/>
      <c r="N23" s="48"/>
      <c r="O23" s="48"/>
      <c r="P23" s="48"/>
      <c r="Q23" s="48"/>
      <c r="R23" s="46"/>
    </row>
    <row r="24" spans="1:18" x14ac:dyDescent="0.35">
      <c r="A24" s="3"/>
      <c r="B24" s="437" t="s">
        <v>30</v>
      </c>
      <c r="C24" s="438"/>
      <c r="D24" s="438"/>
      <c r="E24" s="438"/>
      <c r="F24" s="438"/>
      <c r="G24" s="438"/>
      <c r="H24" s="438"/>
      <c r="I24" s="438"/>
      <c r="J24" s="438"/>
      <c r="K24" s="438"/>
      <c r="L24" s="438"/>
      <c r="M24" s="438"/>
      <c r="N24" s="438"/>
      <c r="O24" s="438"/>
      <c r="P24" s="438"/>
      <c r="Q24" s="439"/>
      <c r="R24" s="3"/>
    </row>
    <row r="25" spans="1:18" ht="18" customHeight="1" x14ac:dyDescent="0.35">
      <c r="A25" s="3"/>
      <c r="B25" s="416" t="s">
        <v>33</v>
      </c>
      <c r="C25" s="417"/>
      <c r="D25" s="417"/>
      <c r="E25" s="417"/>
      <c r="F25" s="417"/>
      <c r="G25" s="417"/>
      <c r="H25" s="417"/>
      <c r="I25" s="417"/>
      <c r="J25" s="417"/>
      <c r="K25" s="417"/>
      <c r="L25" s="417"/>
      <c r="M25" s="417"/>
      <c r="N25" s="417"/>
      <c r="O25" s="417"/>
      <c r="P25" s="417"/>
      <c r="Q25" s="418"/>
      <c r="R25" s="3"/>
    </row>
    <row r="26" spans="1:18" x14ac:dyDescent="0.35">
      <c r="A26" s="3"/>
      <c r="B26" s="431" t="s">
        <v>31</v>
      </c>
      <c r="C26" s="432"/>
      <c r="D26" s="432"/>
      <c r="E26" s="432"/>
      <c r="F26" s="432"/>
      <c r="G26" s="432"/>
      <c r="H26" s="432"/>
      <c r="I26" s="432"/>
      <c r="J26" s="432"/>
      <c r="K26" s="432"/>
      <c r="L26" s="432"/>
      <c r="M26" s="432"/>
      <c r="N26" s="432"/>
      <c r="O26" s="432"/>
      <c r="P26" s="432"/>
      <c r="Q26" s="433"/>
      <c r="R26" s="3"/>
    </row>
    <row r="27" spans="1:18" ht="16.5" customHeight="1" x14ac:dyDescent="0.35">
      <c r="A27" s="3"/>
      <c r="B27" s="416" t="s">
        <v>32</v>
      </c>
      <c r="C27" s="417"/>
      <c r="D27" s="417"/>
      <c r="E27" s="417"/>
      <c r="F27" s="417"/>
      <c r="G27" s="417"/>
      <c r="H27" s="417"/>
      <c r="I27" s="417"/>
      <c r="J27" s="417"/>
      <c r="K27" s="417"/>
      <c r="L27" s="417"/>
      <c r="M27" s="417"/>
      <c r="N27" s="417"/>
      <c r="O27" s="417"/>
      <c r="P27" s="417"/>
      <c r="Q27" s="418"/>
      <c r="R27" s="3"/>
    </row>
    <row r="28" spans="1:18" ht="30" customHeight="1" x14ac:dyDescent="0.35">
      <c r="A28" s="3"/>
      <c r="B28" s="416" t="s">
        <v>241</v>
      </c>
      <c r="C28" s="417"/>
      <c r="D28" s="417"/>
      <c r="E28" s="417"/>
      <c r="F28" s="417"/>
      <c r="G28" s="417"/>
      <c r="H28" s="417"/>
      <c r="I28" s="417"/>
      <c r="J28" s="417"/>
      <c r="K28" s="417"/>
      <c r="L28" s="417"/>
      <c r="M28" s="417"/>
      <c r="N28" s="417"/>
      <c r="O28" s="417"/>
      <c r="P28" s="417"/>
      <c r="Q28" s="418"/>
      <c r="R28" s="3"/>
    </row>
    <row r="29" spans="1:18" ht="15" customHeight="1" x14ac:dyDescent="0.35">
      <c r="A29" s="3"/>
      <c r="B29" s="416" t="s">
        <v>242</v>
      </c>
      <c r="C29" s="417"/>
      <c r="D29" s="417"/>
      <c r="E29" s="417"/>
      <c r="F29" s="417"/>
      <c r="G29" s="417"/>
      <c r="H29" s="417"/>
      <c r="I29" s="417"/>
      <c r="J29" s="417"/>
      <c r="K29" s="417"/>
      <c r="L29" s="417"/>
      <c r="M29" s="417"/>
      <c r="N29" s="417"/>
      <c r="O29" s="417"/>
      <c r="P29" s="417"/>
      <c r="Q29" s="418"/>
      <c r="R29" s="3"/>
    </row>
    <row r="30" spans="1:18" ht="15" customHeight="1" x14ac:dyDescent="0.35">
      <c r="A30" s="3"/>
      <c r="B30" s="419" t="s">
        <v>39</v>
      </c>
      <c r="C30" s="420"/>
      <c r="D30" s="420"/>
      <c r="E30" s="420"/>
      <c r="F30" s="420"/>
      <c r="G30" s="420"/>
      <c r="H30" s="420"/>
      <c r="I30" s="420"/>
      <c r="J30" s="420"/>
      <c r="K30" s="420"/>
      <c r="L30" s="420"/>
      <c r="M30" s="420"/>
      <c r="N30" s="420"/>
      <c r="O30" s="420"/>
      <c r="P30" s="420"/>
      <c r="Q30" s="421"/>
      <c r="R30" s="3"/>
    </row>
    <row r="31" spans="1:18" x14ac:dyDescent="0.35">
      <c r="A31" s="3"/>
      <c r="B31" s="52"/>
      <c r="C31" s="46"/>
      <c r="D31" s="46"/>
      <c r="E31" s="46"/>
      <c r="F31" s="46"/>
      <c r="G31" s="46"/>
      <c r="H31" s="46"/>
      <c r="I31" s="46"/>
      <c r="J31" s="46"/>
      <c r="K31" s="46"/>
      <c r="L31" s="46"/>
      <c r="M31" s="46"/>
      <c r="N31" s="46"/>
      <c r="O31" s="46"/>
      <c r="P31" s="46"/>
      <c r="Q31" s="46"/>
      <c r="R31" s="3"/>
    </row>
    <row r="32" spans="1:18" ht="38.25" customHeight="1" x14ac:dyDescent="0.35">
      <c r="A32" s="3"/>
      <c r="B32" s="422" t="s">
        <v>245</v>
      </c>
      <c r="C32" s="423"/>
      <c r="D32" s="423"/>
      <c r="E32" s="423"/>
      <c r="F32" s="423"/>
      <c r="G32" s="423"/>
      <c r="H32" s="423"/>
      <c r="I32" s="423"/>
      <c r="J32" s="423"/>
      <c r="K32" s="423"/>
      <c r="L32" s="423"/>
      <c r="M32" s="423"/>
      <c r="N32" s="423"/>
      <c r="O32" s="423"/>
      <c r="P32" s="423"/>
      <c r="Q32" s="424"/>
      <c r="R32" s="3"/>
    </row>
    <row r="33" spans="1:18" ht="126.75" customHeight="1" x14ac:dyDescent="0.35">
      <c r="A33" s="3"/>
      <c r="B33" s="419" t="s">
        <v>246</v>
      </c>
      <c r="C33" s="420"/>
      <c r="D33" s="420"/>
      <c r="E33" s="420"/>
      <c r="F33" s="420"/>
      <c r="G33" s="420"/>
      <c r="H33" s="420"/>
      <c r="I33" s="420"/>
      <c r="J33" s="420"/>
      <c r="K33" s="420"/>
      <c r="L33" s="420"/>
      <c r="M33" s="420"/>
      <c r="N33" s="420"/>
      <c r="O33" s="420"/>
      <c r="P33" s="420"/>
      <c r="Q33" s="421"/>
      <c r="R33" s="3"/>
    </row>
    <row r="34" spans="1:18" x14ac:dyDescent="0.35">
      <c r="A34" s="3"/>
      <c r="B34" s="52"/>
      <c r="C34" s="46"/>
      <c r="D34" s="46"/>
      <c r="E34" s="46"/>
      <c r="F34" s="46"/>
      <c r="G34" s="46"/>
      <c r="H34" s="46"/>
      <c r="I34" s="46"/>
      <c r="J34" s="46"/>
      <c r="K34" s="46"/>
      <c r="L34" s="46"/>
      <c r="M34" s="46"/>
      <c r="N34" s="46"/>
      <c r="O34" s="46"/>
      <c r="P34" s="46"/>
      <c r="Q34" s="46"/>
      <c r="R34" s="3"/>
    </row>
    <row r="35" spans="1:18" x14ac:dyDescent="0.35">
      <c r="A35" s="3"/>
      <c r="B35" s="52"/>
      <c r="C35" s="46"/>
      <c r="D35" s="46"/>
      <c r="E35" s="46"/>
      <c r="F35" s="46"/>
      <c r="G35" s="46"/>
      <c r="H35" s="46"/>
      <c r="I35" s="46"/>
      <c r="J35" s="46"/>
      <c r="K35" s="46"/>
      <c r="L35" s="46"/>
      <c r="M35" s="46"/>
      <c r="N35" s="46"/>
      <c r="O35" s="46"/>
      <c r="P35" s="46"/>
      <c r="Q35" s="46"/>
      <c r="R35" s="3"/>
    </row>
    <row r="36" spans="1:18" x14ac:dyDescent="0.35">
      <c r="A36" s="3"/>
      <c r="B36" s="52"/>
      <c r="C36" s="46"/>
      <c r="D36" s="46"/>
      <c r="E36" s="46"/>
      <c r="F36" s="46"/>
      <c r="G36" s="46"/>
      <c r="H36" s="46"/>
      <c r="I36" s="46"/>
      <c r="J36" s="46"/>
      <c r="K36" s="46"/>
      <c r="L36" s="46"/>
      <c r="M36" s="46"/>
      <c r="N36" s="46"/>
      <c r="O36" s="46"/>
      <c r="P36" s="46"/>
      <c r="Q36" s="46"/>
      <c r="R36" s="3"/>
    </row>
    <row r="37" spans="1:18" x14ac:dyDescent="0.35">
      <c r="A37" s="3"/>
      <c r="B37" s="52"/>
      <c r="C37" s="46"/>
      <c r="D37" s="46"/>
      <c r="E37" s="46"/>
      <c r="F37" s="46"/>
      <c r="G37" s="46"/>
      <c r="H37" s="46"/>
      <c r="I37" s="46"/>
      <c r="J37" s="46"/>
      <c r="K37" s="46"/>
      <c r="L37" s="46"/>
      <c r="M37" s="46"/>
      <c r="N37" s="46"/>
      <c r="O37" s="46"/>
      <c r="P37" s="46"/>
      <c r="Q37" s="46"/>
      <c r="R37" s="3"/>
    </row>
    <row r="38" spans="1:18" x14ac:dyDescent="0.35">
      <c r="A38" s="3"/>
      <c r="B38" s="52"/>
      <c r="C38" s="46"/>
      <c r="D38" s="46"/>
      <c r="E38" s="46"/>
      <c r="F38" s="46"/>
      <c r="G38" s="46"/>
      <c r="H38" s="46"/>
      <c r="I38" s="46"/>
      <c r="J38" s="46"/>
      <c r="K38" s="46"/>
      <c r="L38" s="46"/>
      <c r="M38" s="46"/>
      <c r="N38" s="46"/>
      <c r="O38" s="46"/>
      <c r="P38" s="46"/>
      <c r="Q38" s="46"/>
      <c r="R38" s="3"/>
    </row>
    <row r="39" spans="1:18" x14ac:dyDescent="0.35">
      <c r="A39" s="3"/>
      <c r="B39" s="46"/>
      <c r="C39" s="46"/>
      <c r="D39" s="46"/>
      <c r="E39" s="46"/>
      <c r="F39" s="46"/>
      <c r="G39" s="46"/>
      <c r="H39" s="46"/>
      <c r="I39" s="46"/>
      <c r="J39" s="46"/>
      <c r="K39" s="46"/>
      <c r="L39" s="46"/>
      <c r="M39" s="46"/>
      <c r="N39" s="46"/>
      <c r="O39" s="46"/>
      <c r="P39" s="46"/>
      <c r="Q39" s="46"/>
      <c r="R39" s="3"/>
    </row>
  </sheetData>
  <sheetProtection algorithmName="SHA-512" hashValue="WBcKtK7dAVldIBjvxUsoLPbkpBMer9li43DU7nZDXBJUA4oh5UbFtrE2CR7UeXlWwOhYSIoCzuvMPYoMftsNVA==" saltValue="ene8J6xjvuZuguWKcpUsOA==" spinCount="100000" sheet="1" objects="1" scenarios="1"/>
  <mergeCells count="21">
    <mergeCell ref="B30:Q30"/>
    <mergeCell ref="B32:Q32"/>
    <mergeCell ref="B33:Q33"/>
    <mergeCell ref="B15:Q15"/>
    <mergeCell ref="B25:Q25"/>
    <mergeCell ref="B26:Q26"/>
    <mergeCell ref="B22:Q22"/>
    <mergeCell ref="B24:Q24"/>
    <mergeCell ref="B27:Q27"/>
    <mergeCell ref="B17:Q17"/>
    <mergeCell ref="B18:Q18"/>
    <mergeCell ref="B6:L6"/>
    <mergeCell ref="B20:Q20"/>
    <mergeCell ref="B16:Q16"/>
    <mergeCell ref="B28:Q28"/>
    <mergeCell ref="B29:Q29"/>
    <mergeCell ref="B8:Q8"/>
    <mergeCell ref="B11:Q11"/>
    <mergeCell ref="B13:Q13"/>
    <mergeCell ref="B9:Q9"/>
    <mergeCell ref="B14:Q14"/>
  </mergeCells>
  <hyperlinks>
    <hyperlink ref="B32" r:id="rId1" display="https://nces.ed.gov/ipeds/use-the-data" xr:uid="{3605A7F6-4529-485D-BAD2-CE5042A8819B}"/>
    <hyperlink ref="B6:L6" r:id="rId2" display="2. The Business Model Case for Sustainable Advising Redesign: A Toolkit" xr:uid="{E80446F5-9255-4909-8FF6-556C6C6270BE}"/>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E0823-88F7-4E02-BD59-34A37D51C61D}">
  <sheetPr>
    <tabColor rgb="FFB42C33"/>
  </sheetPr>
  <dimension ref="A1:AM114"/>
  <sheetViews>
    <sheetView showGridLines="0" showZeros="0" zoomScale="90" zoomScaleNormal="90" workbookViewId="0"/>
  </sheetViews>
  <sheetFormatPr defaultColWidth="10" defaultRowHeight="14.5" x14ac:dyDescent="0.35"/>
  <cols>
    <col min="1" max="1" width="5.453125" style="206" customWidth="1"/>
    <col min="2" max="2" width="10" style="206"/>
    <col min="3" max="4" width="10" style="206" customWidth="1"/>
    <col min="5" max="5" width="10.54296875" style="206" bestFit="1" customWidth="1"/>
    <col min="6" max="6" width="10" style="206"/>
    <col min="7" max="7" width="10" style="206" customWidth="1"/>
    <col min="8" max="8" width="11.1796875" style="206" customWidth="1"/>
    <col min="9" max="16" width="10" style="206"/>
    <col min="17" max="17" width="10.54296875" style="206" bestFit="1" customWidth="1"/>
    <col min="18" max="21" width="10" style="206" bestFit="1" customWidth="1"/>
    <col min="22" max="23" width="10" style="206"/>
    <col min="24" max="24" width="10" style="206" customWidth="1"/>
    <col min="25" max="16384" width="10" style="206"/>
  </cols>
  <sheetData>
    <row r="1" spans="1:27" ht="18.5" x14ac:dyDescent="0.45">
      <c r="A1" s="31" t="str">
        <f>About!A1</f>
        <v>rpk GROUP | Advising Redesign Financial Model</v>
      </c>
      <c r="B1" s="289"/>
      <c r="C1" s="289"/>
      <c r="D1" s="289"/>
      <c r="E1" s="290"/>
      <c r="F1" s="290"/>
      <c r="G1" s="290"/>
      <c r="H1" s="290"/>
      <c r="I1" s="290"/>
      <c r="J1" s="290"/>
      <c r="K1" s="290"/>
      <c r="L1" s="290"/>
      <c r="M1" s="290"/>
      <c r="N1" s="290"/>
      <c r="O1" s="290"/>
      <c r="P1" s="290"/>
      <c r="Q1" s="290"/>
      <c r="R1" s="290"/>
      <c r="S1" s="290"/>
      <c r="T1" s="290"/>
      <c r="U1" s="290"/>
      <c r="V1" s="290"/>
      <c r="W1" s="290"/>
      <c r="X1" s="290"/>
      <c r="Y1" s="290"/>
      <c r="Z1" s="290"/>
      <c r="AA1" s="290"/>
    </row>
    <row r="2" spans="1:27" ht="18.5" x14ac:dyDescent="0.45">
      <c r="A2" s="337" t="str">
        <f>About!A2</f>
        <v>In Collaboration with American Association of State Colleges and Universities (AASCU) &amp; Advising Success Network (ASN)</v>
      </c>
      <c r="B2" s="289"/>
      <c r="C2" s="289"/>
      <c r="D2" s="289"/>
      <c r="E2" s="290"/>
      <c r="F2" s="290"/>
      <c r="G2" s="290"/>
      <c r="H2" s="290"/>
      <c r="I2" s="290"/>
      <c r="J2" s="290"/>
      <c r="K2" s="290"/>
      <c r="L2" s="290"/>
      <c r="M2" s="290"/>
      <c r="N2" s="290"/>
      <c r="O2" s="290"/>
      <c r="P2" s="290"/>
      <c r="Q2" s="290"/>
      <c r="R2" s="290"/>
      <c r="S2" s="290"/>
      <c r="T2" s="290"/>
      <c r="U2" s="290"/>
      <c r="V2" s="290"/>
      <c r="W2" s="290"/>
      <c r="X2" s="290"/>
      <c r="Y2" s="290"/>
      <c r="Z2" s="290"/>
      <c r="AA2" s="290"/>
    </row>
    <row r="3" spans="1:27" ht="18.5" x14ac:dyDescent="0.45">
      <c r="A3" s="56" t="s">
        <v>47</v>
      </c>
      <c r="B3" s="287"/>
      <c r="C3" s="287"/>
      <c r="D3" s="287"/>
      <c r="E3" s="288"/>
      <c r="F3" s="288"/>
      <c r="G3" s="288"/>
      <c r="H3" s="288"/>
      <c r="I3" s="288"/>
      <c r="J3" s="288"/>
      <c r="K3" s="288"/>
      <c r="L3" s="288"/>
      <c r="M3" s="288"/>
      <c r="N3" s="288"/>
      <c r="O3" s="288"/>
      <c r="P3" s="288"/>
      <c r="Q3" s="288"/>
      <c r="R3" s="288"/>
      <c r="S3" s="288"/>
      <c r="T3" s="288"/>
      <c r="U3" s="288"/>
      <c r="V3" s="288"/>
      <c r="W3" s="288"/>
      <c r="X3" s="288"/>
      <c r="Y3" s="288"/>
      <c r="Z3" s="288"/>
      <c r="AA3" s="288"/>
    </row>
    <row r="5" spans="1:27" x14ac:dyDescent="0.35">
      <c r="B5" s="206" t="s">
        <v>171</v>
      </c>
      <c r="O5" s="206" t="s">
        <v>172</v>
      </c>
    </row>
    <row r="23" spans="1:23" x14ac:dyDescent="0.35">
      <c r="B23" s="441" t="s">
        <v>173</v>
      </c>
      <c r="C23" s="441"/>
      <c r="D23" s="441"/>
      <c r="E23" s="441"/>
      <c r="F23" s="441"/>
      <c r="G23" s="441"/>
      <c r="H23" s="441"/>
      <c r="I23" s="441"/>
      <c r="J23" s="441"/>
      <c r="K23" s="441"/>
      <c r="L23" s="441"/>
      <c r="M23" s="441"/>
      <c r="O23" s="441" t="s">
        <v>174</v>
      </c>
      <c r="P23" s="441"/>
      <c r="Q23" s="441"/>
      <c r="R23" s="441"/>
      <c r="S23" s="441"/>
      <c r="T23" s="441"/>
      <c r="U23" s="441"/>
      <c r="V23" s="441"/>
      <c r="W23" s="441"/>
    </row>
    <row r="24" spans="1:23" x14ac:dyDescent="0.35">
      <c r="A24" s="206" t="s">
        <v>175</v>
      </c>
      <c r="D24" s="207"/>
      <c r="E24" s="207"/>
      <c r="F24" s="207"/>
      <c r="G24" s="207"/>
      <c r="H24" s="207"/>
    </row>
    <row r="25" spans="1:23" x14ac:dyDescent="0.35">
      <c r="B25" s="206" t="s">
        <v>176</v>
      </c>
      <c r="O25" s="206" t="s">
        <v>177</v>
      </c>
    </row>
    <row r="43" spans="2:39" ht="15" customHeight="1" x14ac:dyDescent="0.35">
      <c r="B43" s="440" t="s">
        <v>237</v>
      </c>
      <c r="C43" s="440"/>
      <c r="D43" s="440"/>
      <c r="E43" s="440"/>
      <c r="F43" s="440"/>
      <c r="G43" s="440"/>
      <c r="H43" s="440"/>
      <c r="I43" s="440"/>
      <c r="J43" s="440"/>
      <c r="K43" s="440"/>
      <c r="L43" s="440"/>
      <c r="M43" s="440"/>
      <c r="O43" s="440" t="s">
        <v>238</v>
      </c>
      <c r="P43" s="440"/>
      <c r="Q43" s="440"/>
      <c r="R43" s="440"/>
      <c r="S43" s="440"/>
      <c r="T43" s="440"/>
      <c r="U43" s="440"/>
      <c r="V43" s="440"/>
      <c r="W43" s="440"/>
      <c r="X43" s="440"/>
      <c r="Y43" s="440"/>
      <c r="Z43" s="440"/>
    </row>
    <row r="44" spans="2:39" x14ac:dyDescent="0.35">
      <c r="B44" s="440"/>
      <c r="C44" s="440"/>
      <c r="D44" s="440"/>
      <c r="E44" s="440"/>
      <c r="F44" s="440"/>
      <c r="G44" s="440"/>
      <c r="H44" s="440"/>
      <c r="I44" s="440"/>
      <c r="J44" s="440"/>
      <c r="K44" s="440"/>
      <c r="L44" s="440"/>
      <c r="M44" s="440"/>
      <c r="O44" s="440"/>
      <c r="P44" s="440"/>
      <c r="Q44" s="440"/>
      <c r="R44" s="440"/>
      <c r="S44" s="440"/>
      <c r="T44" s="440"/>
      <c r="U44" s="440"/>
      <c r="V44" s="440"/>
      <c r="W44" s="440"/>
      <c r="X44" s="440"/>
      <c r="Y44" s="440"/>
      <c r="Z44" s="440"/>
    </row>
    <row r="45" spans="2:39" x14ac:dyDescent="0.35">
      <c r="B45" s="208"/>
      <c r="C45" s="208"/>
      <c r="D45" s="208"/>
      <c r="E45" s="208"/>
      <c r="F45" s="208"/>
      <c r="G45" s="208"/>
      <c r="H45" s="208"/>
      <c r="I45" s="208"/>
      <c r="J45" s="208"/>
      <c r="K45" s="208"/>
      <c r="L45" s="208"/>
      <c r="M45" s="208"/>
      <c r="O45" s="440"/>
      <c r="P45" s="440"/>
      <c r="Q45" s="440"/>
      <c r="R45" s="440"/>
      <c r="S45" s="440"/>
      <c r="T45" s="440"/>
      <c r="U45" s="440"/>
      <c r="V45" s="440"/>
      <c r="W45" s="440"/>
      <c r="X45" s="440"/>
      <c r="Y45" s="440"/>
      <c r="Z45" s="440"/>
      <c r="AB45" s="440"/>
      <c r="AC45" s="440"/>
      <c r="AD45" s="440"/>
      <c r="AE45" s="440"/>
      <c r="AF45" s="440"/>
      <c r="AG45" s="440"/>
      <c r="AH45" s="440"/>
      <c r="AI45" s="440"/>
      <c r="AJ45" s="440"/>
      <c r="AK45" s="440"/>
      <c r="AL45" s="440"/>
      <c r="AM45" s="440"/>
    </row>
    <row r="46" spans="2:39" x14ac:dyDescent="0.35">
      <c r="B46" s="206" t="s">
        <v>178</v>
      </c>
      <c r="O46" s="206" t="s">
        <v>232</v>
      </c>
      <c r="AB46" s="440"/>
      <c r="AC46" s="440"/>
      <c r="AD46" s="440"/>
      <c r="AE46" s="440"/>
      <c r="AF46" s="440"/>
      <c r="AG46" s="440"/>
      <c r="AH46" s="440"/>
      <c r="AI46" s="440"/>
      <c r="AJ46" s="440"/>
      <c r="AK46" s="440"/>
      <c r="AL46" s="440"/>
      <c r="AM46" s="440"/>
    </row>
    <row r="51" spans="2:26" ht="15" customHeight="1" x14ac:dyDescent="0.35"/>
    <row r="55" spans="2:26" x14ac:dyDescent="0.35">
      <c r="O55" s="209"/>
    </row>
    <row r="62" spans="2:26" x14ac:dyDescent="0.35">
      <c r="X62" s="210"/>
    </row>
    <row r="63" spans="2:26" x14ac:dyDescent="0.35">
      <c r="X63" s="210"/>
    </row>
    <row r="64" spans="2:26" ht="15" customHeight="1" x14ac:dyDescent="0.35">
      <c r="B64" s="440" t="s">
        <v>231</v>
      </c>
      <c r="C64" s="440"/>
      <c r="D64" s="440"/>
      <c r="E64" s="440"/>
      <c r="F64" s="440"/>
      <c r="G64" s="440"/>
      <c r="H64" s="440"/>
      <c r="I64" s="440"/>
      <c r="J64" s="440"/>
      <c r="K64" s="440"/>
      <c r="L64" s="440"/>
      <c r="M64" s="440"/>
      <c r="O64" s="440" t="s">
        <v>239</v>
      </c>
      <c r="P64" s="440"/>
      <c r="Q64" s="440"/>
      <c r="R64" s="440"/>
      <c r="S64" s="440"/>
      <c r="T64" s="440"/>
      <c r="U64" s="440"/>
      <c r="V64" s="440"/>
      <c r="W64" s="440"/>
      <c r="X64" s="440"/>
      <c r="Y64" s="440"/>
      <c r="Z64" s="440"/>
    </row>
    <row r="65" spans="1:27" x14ac:dyDescent="0.35">
      <c r="B65" s="440"/>
      <c r="C65" s="440"/>
      <c r="D65" s="440"/>
      <c r="E65" s="440"/>
      <c r="F65" s="440"/>
      <c r="G65" s="440"/>
      <c r="H65" s="440"/>
      <c r="I65" s="440"/>
      <c r="J65" s="440"/>
      <c r="K65" s="440"/>
      <c r="L65" s="440"/>
      <c r="M65" s="440"/>
      <c r="O65" s="440"/>
      <c r="P65" s="440"/>
      <c r="Q65" s="440"/>
      <c r="R65" s="440"/>
      <c r="S65" s="440"/>
      <c r="T65" s="440"/>
      <c r="U65" s="440"/>
      <c r="V65" s="440"/>
      <c r="W65" s="440"/>
      <c r="X65" s="440"/>
      <c r="Y65" s="440"/>
      <c r="Z65" s="440"/>
    </row>
    <row r="66" spans="1:27" x14ac:dyDescent="0.35">
      <c r="B66" s="440"/>
      <c r="C66" s="440"/>
      <c r="D66" s="440"/>
      <c r="E66" s="440"/>
      <c r="F66" s="440"/>
      <c r="G66" s="440"/>
      <c r="H66" s="440"/>
      <c r="I66" s="440"/>
      <c r="J66" s="440"/>
      <c r="K66" s="440"/>
      <c r="L66" s="440"/>
      <c r="M66" s="440"/>
      <c r="O66" s="440"/>
      <c r="P66" s="440"/>
      <c r="Q66" s="440"/>
      <c r="R66" s="440"/>
      <c r="S66" s="440"/>
      <c r="T66" s="440"/>
      <c r="U66" s="440"/>
      <c r="V66" s="440"/>
      <c r="W66" s="440"/>
      <c r="X66" s="440"/>
      <c r="Y66" s="440"/>
      <c r="Z66" s="440"/>
    </row>
    <row r="69" spans="1:27" ht="18.5" x14ac:dyDescent="0.45">
      <c r="A69" s="204" t="s">
        <v>179</v>
      </c>
      <c r="B69" s="204"/>
      <c r="C69" s="204"/>
      <c r="D69" s="204"/>
      <c r="E69" s="205"/>
      <c r="F69" s="205"/>
      <c r="G69" s="205"/>
      <c r="H69" s="205"/>
      <c r="I69" s="205"/>
      <c r="J69" s="205"/>
      <c r="K69" s="205"/>
      <c r="L69" s="205"/>
      <c r="M69" s="205"/>
      <c r="N69" s="205"/>
      <c r="O69" s="205"/>
      <c r="P69" s="205"/>
      <c r="Q69" s="205"/>
      <c r="R69" s="205"/>
      <c r="S69" s="205"/>
      <c r="T69" s="205"/>
      <c r="U69" s="205"/>
      <c r="V69" s="205"/>
      <c r="W69" s="205"/>
      <c r="X69" s="205"/>
      <c r="Y69" s="205"/>
      <c r="Z69" s="205"/>
      <c r="AA69" s="205"/>
    </row>
    <row r="70" spans="1:27" x14ac:dyDescent="0.35">
      <c r="E70" s="211"/>
      <c r="F70" s="211"/>
      <c r="G70" s="211"/>
      <c r="H70" s="211" t="str">
        <f>[1]Assumptions!D5</f>
        <v>2021-22</v>
      </c>
      <c r="I70" s="211" t="str">
        <f>[1]Assumptions!E5</f>
        <v>2022-23</v>
      </c>
      <c r="J70" s="211" t="str">
        <f>[1]Assumptions!F5</f>
        <v>2023-24</v>
      </c>
      <c r="K70" s="211" t="str">
        <f>[1]Assumptions!G5</f>
        <v>2024-25</v>
      </c>
      <c r="L70" s="211" t="str">
        <f>[1]Assumptions!H5</f>
        <v>2025-26</v>
      </c>
      <c r="M70" s="211" t="str">
        <f>[1]Assumptions!I5</f>
        <v>2026-27</v>
      </c>
      <c r="N70" s="211"/>
    </row>
    <row r="71" spans="1:27" x14ac:dyDescent="0.35">
      <c r="E71" s="211"/>
      <c r="F71" s="211"/>
      <c r="G71" s="211"/>
      <c r="H71" s="211" t="s">
        <v>0</v>
      </c>
      <c r="I71" s="211" t="s">
        <v>1</v>
      </c>
      <c r="J71" s="211" t="s">
        <v>2</v>
      </c>
      <c r="K71" s="211" t="s">
        <v>3</v>
      </c>
      <c r="L71" s="211" t="s">
        <v>4</v>
      </c>
      <c r="M71" s="211" t="s">
        <v>5</v>
      </c>
      <c r="N71" s="211"/>
      <c r="R71" s="209"/>
    </row>
    <row r="72" spans="1:27" ht="15.5" x14ac:dyDescent="0.35">
      <c r="B72" s="212" t="s">
        <v>223</v>
      </c>
      <c r="C72" s="213"/>
      <c r="D72" s="213"/>
      <c r="E72" s="213"/>
      <c r="F72" s="213"/>
      <c r="G72" s="213"/>
      <c r="H72" s="213"/>
      <c r="I72" s="213"/>
      <c r="J72" s="213"/>
      <c r="K72" s="213"/>
      <c r="L72" s="213"/>
      <c r="M72" s="213"/>
      <c r="N72" s="214"/>
    </row>
    <row r="73" spans="1:27" x14ac:dyDescent="0.35">
      <c r="B73" s="215" t="s">
        <v>223</v>
      </c>
      <c r="C73" s="216"/>
      <c r="D73" s="216"/>
      <c r="E73" s="216"/>
      <c r="F73" s="216"/>
      <c r="G73" s="216"/>
      <c r="H73" s="220" t="s">
        <v>182</v>
      </c>
      <c r="I73" s="217">
        <f>'Revenue &amp; Expense'!F9</f>
        <v>299026.25999999361</v>
      </c>
      <c r="J73" s="217">
        <f>'Revenue &amp; Expense'!G9</f>
        <v>679513.44000000483</v>
      </c>
      <c r="K73" s="217">
        <f>'Revenue &amp; Expense'!H9</f>
        <v>723520.24900000519</v>
      </c>
      <c r="L73" s="217">
        <f>'Revenue &amp; Expense'!I9</f>
        <v>778196.84499999299</v>
      </c>
      <c r="M73" s="217">
        <f>'Revenue &amp; Expense'!J9</f>
        <v>796595.51100000564</v>
      </c>
      <c r="N73" s="218"/>
      <c r="S73" s="219"/>
    </row>
    <row r="74" spans="1:27" x14ac:dyDescent="0.35">
      <c r="B74" s="273" t="s">
        <v>217</v>
      </c>
      <c r="C74" s="216"/>
      <c r="D74" s="216"/>
      <c r="E74" s="216"/>
      <c r="F74" s="216"/>
      <c r="G74" s="216"/>
      <c r="H74" s="220" t="s">
        <v>182</v>
      </c>
      <c r="I74" s="217">
        <f>'ROI&amp;Efficiency Calculations'!C21</f>
        <v>0</v>
      </c>
      <c r="J74" s="217">
        <f>'ROI&amp;Efficiency Calculations'!D21</f>
        <v>366685.44000000029</v>
      </c>
      <c r="K74" s="217">
        <f>'ROI&amp;Efficiency Calculations'!E21</f>
        <v>384494.77400000033</v>
      </c>
      <c r="L74" s="217">
        <f>'ROI&amp;Efficiency Calculations'!F21</f>
        <v>428320.03500000038</v>
      </c>
      <c r="M74" s="217">
        <f>'ROI&amp;Efficiency Calculations'!G21</f>
        <v>431421.47100000043</v>
      </c>
      <c r="N74" s="216"/>
    </row>
    <row r="75" spans="1:27" x14ac:dyDescent="0.35">
      <c r="B75" s="278" t="s">
        <v>234</v>
      </c>
      <c r="C75" s="279"/>
      <c r="D75" s="279"/>
      <c r="E75" s="279"/>
      <c r="F75" s="279"/>
      <c r="G75" s="279"/>
      <c r="H75" s="282">
        <f>'Advising Activity &amp; ROI Levers'!E18</f>
        <v>0.66200000000000003</v>
      </c>
      <c r="I75" s="282">
        <f>'Advising Activity &amp; ROI Levers'!F18</f>
        <v>0.66200000000000003</v>
      </c>
      <c r="J75" s="283">
        <f>'Advising Activity &amp; ROI Levers'!G18</f>
        <v>0.66700000000000004</v>
      </c>
      <c r="K75" s="283">
        <f>'Advising Activity &amp; ROI Levers'!H18</f>
        <v>0.67200000000000004</v>
      </c>
      <c r="L75" s="283">
        <f>'Advising Activity &amp; ROI Levers'!I18</f>
        <v>0.67700000000000005</v>
      </c>
      <c r="M75" s="283">
        <f>'Advising Activity &amp; ROI Levers'!J18</f>
        <v>0.68200000000000005</v>
      </c>
      <c r="N75" s="216"/>
    </row>
    <row r="76" spans="1:27" x14ac:dyDescent="0.35">
      <c r="B76" s="273" t="s">
        <v>218</v>
      </c>
      <c r="C76" s="216"/>
      <c r="D76" s="216"/>
      <c r="E76" s="216"/>
      <c r="F76" s="216"/>
      <c r="G76" s="216"/>
      <c r="H76" s="220" t="s">
        <v>182</v>
      </c>
      <c r="I76" s="217">
        <f>'ROI&amp;Efficiency Calculations'!C38</f>
        <v>299026.25999999361</v>
      </c>
      <c r="J76" s="217">
        <f>'ROI&amp;Efficiency Calculations'!D38</f>
        <v>312828.00000000448</v>
      </c>
      <c r="K76" s="217">
        <f>'ROI&amp;Efficiency Calculations'!E38</f>
        <v>339025.47500000481</v>
      </c>
      <c r="L76" s="297">
        <f>'ROI&amp;Efficiency Calculations'!F38</f>
        <v>349876.80999999255</v>
      </c>
      <c r="M76" s="217">
        <f>'ROI&amp;Efficiency Calculations'!G38</f>
        <v>365174.04000000522</v>
      </c>
      <c r="N76" s="216"/>
      <c r="S76" s="219"/>
    </row>
    <row r="77" spans="1:27" x14ac:dyDescent="0.35">
      <c r="B77" s="278" t="s">
        <v>233</v>
      </c>
      <c r="C77" s="279"/>
      <c r="D77" s="279"/>
      <c r="E77" s="279"/>
      <c r="F77" s="279"/>
      <c r="G77" s="279"/>
      <c r="H77" s="280">
        <f>'Advising Activity &amp; ROI Levers'!E22</f>
        <v>23.8</v>
      </c>
      <c r="I77" s="281">
        <f>'Advising Activity &amp; ROI Levers'!F22</f>
        <v>23.9</v>
      </c>
      <c r="J77" s="281">
        <f>'Advising Activity &amp; ROI Levers'!G22</f>
        <v>24</v>
      </c>
      <c r="K77" s="281">
        <f>'Advising Activity &amp; ROI Levers'!H22</f>
        <v>24.1</v>
      </c>
      <c r="L77" s="281">
        <f>'Advising Activity &amp; ROI Levers'!I22</f>
        <v>24.2</v>
      </c>
      <c r="M77" s="281">
        <f>'Advising Activity &amp; ROI Levers'!J22</f>
        <v>24.3</v>
      </c>
      <c r="N77" s="216"/>
      <c r="S77" s="219"/>
    </row>
    <row r="78" spans="1:27" x14ac:dyDescent="0.35">
      <c r="E78" s="211"/>
      <c r="F78" s="211"/>
      <c r="G78" s="211"/>
      <c r="H78" s="211"/>
      <c r="I78" s="211"/>
      <c r="J78" s="211"/>
      <c r="K78" s="211"/>
      <c r="L78" s="211"/>
      <c r="M78" s="211"/>
      <c r="N78" s="211"/>
      <c r="R78" s="209"/>
    </row>
    <row r="79" spans="1:27" ht="15.5" x14ac:dyDescent="0.35">
      <c r="B79" s="212" t="s">
        <v>180</v>
      </c>
      <c r="C79" s="213"/>
      <c r="D79" s="213"/>
      <c r="E79" s="213"/>
      <c r="F79" s="213"/>
      <c r="G79" s="213"/>
      <c r="H79" s="213"/>
      <c r="I79" s="213"/>
      <c r="J79" s="213"/>
      <c r="K79" s="213"/>
      <c r="L79" s="213"/>
      <c r="M79" s="213"/>
      <c r="N79" s="214"/>
    </row>
    <row r="80" spans="1:27" x14ac:dyDescent="0.35">
      <c r="B80" s="215" t="s">
        <v>181</v>
      </c>
      <c r="C80" s="216"/>
      <c r="D80" s="216"/>
      <c r="E80" s="216"/>
      <c r="F80" s="216"/>
      <c r="G80" s="216"/>
      <c r="H80" s="217">
        <f>'Revenue &amp; Expense'!E54</f>
        <v>-81550</v>
      </c>
      <c r="I80" s="217">
        <f>'Revenue &amp; Expense'!F54</f>
        <v>-72712.057000003522</v>
      </c>
      <c r="J80" s="217">
        <f>'Revenue &amp; Expense'!G54</f>
        <v>-12540.367999997339</v>
      </c>
      <c r="K80" s="217">
        <f>'Revenue &amp; Expense'!H54</f>
        <v>14600.23675000295</v>
      </c>
      <c r="L80" s="217">
        <f>'Revenue &amp; Expense'!I54</f>
        <v>37005.646545995958</v>
      </c>
      <c r="M80" s="217">
        <f>'Revenue &amp; Expense'!J54</f>
        <v>39304.86048192298</v>
      </c>
      <c r="N80" s="218"/>
      <c r="S80" s="219"/>
    </row>
    <row r="81" spans="2:19" x14ac:dyDescent="0.35">
      <c r="B81" s="216" t="s">
        <v>147</v>
      </c>
      <c r="C81" s="216"/>
      <c r="D81" s="216"/>
      <c r="E81" s="216"/>
      <c r="F81" s="216"/>
      <c r="G81" s="216"/>
      <c r="H81" s="220" t="s">
        <v>182</v>
      </c>
      <c r="I81" s="221">
        <f>'Revenue &amp; Expense'!F56</f>
        <v>-0.19560011350673889</v>
      </c>
      <c r="J81" s="221">
        <f>'Revenue &amp; Expense'!G56</f>
        <v>-1.8120510074553769E-2</v>
      </c>
      <c r="K81" s="221">
        <f>'Revenue &amp; Expense'!H56</f>
        <v>2.059504104513013E-2</v>
      </c>
      <c r="L81" s="221">
        <f>'Revenue &amp; Expense'!I56</f>
        <v>4.9927261175232052E-2</v>
      </c>
      <c r="M81" s="221">
        <f>'Revenue &amp; Expense'!J56</f>
        <v>5.1901948683815757E-2</v>
      </c>
      <c r="N81" s="216"/>
    </row>
    <row r="82" spans="2:19" x14ac:dyDescent="0.35">
      <c r="B82" s="216" t="s">
        <v>183</v>
      </c>
      <c r="C82" s="216"/>
      <c r="D82" s="216"/>
      <c r="E82" s="216"/>
      <c r="F82" s="216"/>
      <c r="G82" s="216"/>
      <c r="H82" s="217">
        <f>H80</f>
        <v>-81550</v>
      </c>
      <c r="I82" s="217">
        <f>H82+I80</f>
        <v>-154262.05700000352</v>
      </c>
      <c r="J82" s="217">
        <f t="shared" ref="J82:M82" si="0">I82+J80</f>
        <v>-166802.42500000086</v>
      </c>
      <c r="K82" s="217">
        <f t="shared" si="0"/>
        <v>-152202.18824999791</v>
      </c>
      <c r="L82" s="217">
        <f t="shared" si="0"/>
        <v>-115196.54170400195</v>
      </c>
      <c r="M82" s="217">
        <f t="shared" si="0"/>
        <v>-75891.681222078972</v>
      </c>
      <c r="N82" s="216"/>
      <c r="S82" s="219"/>
    </row>
    <row r="83" spans="2:19" x14ac:dyDescent="0.35">
      <c r="D83" s="222"/>
      <c r="E83" s="222"/>
      <c r="F83" s="222"/>
      <c r="G83" s="222"/>
      <c r="H83" s="222"/>
      <c r="I83" s="222"/>
      <c r="J83" s="222"/>
      <c r="K83" s="222"/>
      <c r="L83" s="222"/>
      <c r="M83" s="222"/>
    </row>
    <row r="84" spans="2:19" ht="15.5" x14ac:dyDescent="0.35">
      <c r="B84" s="212" t="s">
        <v>195</v>
      </c>
      <c r="C84" s="213"/>
      <c r="D84" s="213"/>
      <c r="E84" s="213"/>
      <c r="F84" s="213"/>
      <c r="G84" s="213"/>
      <c r="H84" s="213"/>
      <c r="I84" s="213"/>
      <c r="J84" s="213"/>
      <c r="K84" s="213"/>
      <c r="L84" s="213"/>
      <c r="M84" s="213"/>
      <c r="N84" s="214"/>
    </row>
    <row r="85" spans="2:19" x14ac:dyDescent="0.35">
      <c r="B85" s="216" t="s">
        <v>210</v>
      </c>
      <c r="C85" s="216"/>
      <c r="D85" s="216"/>
      <c r="E85" s="216"/>
      <c r="F85" s="216"/>
      <c r="G85" s="216"/>
      <c r="H85" s="223" t="s">
        <v>182</v>
      </c>
      <c r="I85" s="260">
        <f>'Advising Activity &amp; ROI Levers'!F11/'Advising Activity &amp; ROI Levers'!F9</f>
        <v>0.6</v>
      </c>
      <c r="J85" s="260">
        <f>'Advising Activity &amp; ROI Levers'!G11/'Advising Activity &amp; ROI Levers'!G9</f>
        <v>0.60929169840060926</v>
      </c>
      <c r="K85" s="260">
        <f>'Advising Activity &amp; ROI Levers'!H11/'Advising Activity &amp; ROI Levers'!H9</f>
        <v>0.6409628015352945</v>
      </c>
      <c r="L85" s="260">
        <f>'Advising Activity &amp; ROI Levers'!I11/'Advising Activity &amp; ROI Levers'!I9</f>
        <v>0.64208271324444177</v>
      </c>
      <c r="M85" s="260">
        <f>'Advising Activity &amp; ROI Levers'!J11/'Advising Activity &amp; ROI Levers'!J9</f>
        <v>0.65050977164990642</v>
      </c>
      <c r="N85" s="216"/>
      <c r="S85" s="219"/>
    </row>
    <row r="86" spans="2:19" x14ac:dyDescent="0.35">
      <c r="B86" s="216" t="s">
        <v>211</v>
      </c>
      <c r="C86" s="216"/>
      <c r="D86" s="216"/>
      <c r="E86" s="216"/>
      <c r="F86" s="216"/>
      <c r="G86" s="216"/>
      <c r="H86" s="223" t="s">
        <v>182</v>
      </c>
      <c r="I86" s="260">
        <f>'Advising Activity &amp; ROI Levers'!F9/'Institution Data'!F12</f>
        <v>0.43440051058767709</v>
      </c>
      <c r="J86" s="260">
        <f>'Advising Activity &amp; ROI Levers'!G9/'Institution Data'!G12</f>
        <v>0.43440051058767709</v>
      </c>
      <c r="K86" s="260">
        <f>'Advising Activity &amp; ROI Levers'!H9/'Institution Data'!H12</f>
        <v>0.43440051058767709</v>
      </c>
      <c r="L86" s="260">
        <f>'Advising Activity &amp; ROI Levers'!I9/'Institution Data'!I12</f>
        <v>0.43440051058767704</v>
      </c>
      <c r="M86" s="260">
        <f>'Advising Activity &amp; ROI Levers'!J9/'Institution Data'!J12</f>
        <v>0.43440051058767704</v>
      </c>
      <c r="N86" s="218"/>
      <c r="S86" s="219"/>
    </row>
    <row r="87" spans="2:19" x14ac:dyDescent="0.35">
      <c r="B87" s="216" t="s">
        <v>209</v>
      </c>
      <c r="C87" s="216"/>
      <c r="D87" s="216"/>
      <c r="E87" s="216"/>
      <c r="F87" s="216"/>
      <c r="G87" s="216"/>
      <c r="H87" s="223" t="s">
        <v>182</v>
      </c>
      <c r="I87" s="220">
        <f>'Advising Activity &amp; ROI Levers'!F11/'Institution Data'!F12</f>
        <v>0.26064030635260627</v>
      </c>
      <c r="J87" s="220">
        <f>'Advising Activity &amp; ROI Levers'!G11/'Institution Data'!G12</f>
        <v>0.26467662488205762</v>
      </c>
      <c r="K87" s="220">
        <f>'Advising Activity &amp; ROI Levers'!H11/'Institution Data'!H12</f>
        <v>0.27843456825463986</v>
      </c>
      <c r="L87" s="220">
        <f>'Advising Activity &amp; ROI Levers'!I11/'Institution Data'!I12</f>
        <v>0.27892105847290649</v>
      </c>
      <c r="M87" s="220">
        <f>'Advising Activity &amp; ROI Levers'!J11/'Institution Data'!J12</f>
        <v>0.28258177694699255</v>
      </c>
      <c r="N87" s="216"/>
    </row>
    <row r="88" spans="2:19" x14ac:dyDescent="0.35">
      <c r="D88" s="222"/>
      <c r="E88" s="222"/>
      <c r="F88" s="222"/>
      <c r="G88" s="222"/>
      <c r="H88" s="222"/>
      <c r="I88" s="222"/>
      <c r="J88" s="222"/>
      <c r="K88" s="222"/>
      <c r="L88" s="222"/>
      <c r="M88" s="222"/>
    </row>
    <row r="89" spans="2:19" ht="15.5" x14ac:dyDescent="0.35">
      <c r="B89" s="212" t="s">
        <v>184</v>
      </c>
      <c r="C89" s="213"/>
      <c r="D89" s="213"/>
      <c r="E89" s="213"/>
      <c r="F89" s="213"/>
      <c r="G89" s="213"/>
      <c r="H89" s="213"/>
      <c r="I89" s="213"/>
      <c r="J89" s="213"/>
      <c r="K89" s="213"/>
      <c r="L89" s="213"/>
      <c r="M89" s="213"/>
      <c r="N89" s="214"/>
    </row>
    <row r="90" spans="2:19" x14ac:dyDescent="0.35">
      <c r="B90" s="215" t="s">
        <v>196</v>
      </c>
      <c r="C90" s="216"/>
      <c r="D90" s="226"/>
      <c r="E90" s="216"/>
      <c r="F90" s="226"/>
      <c r="G90" s="226"/>
      <c r="H90" s="227" t="s">
        <v>182</v>
      </c>
      <c r="I90" s="228">
        <f>ROUND(IFERROR('Revenue &amp; Expense'!F44/'Advising Activity &amp; ROI Levers'!F11,0),2)</f>
        <v>60.81</v>
      </c>
      <c r="J90" s="228">
        <f>ROUND(IFERROR('Revenue &amp; Expense'!G44/'Advising Activity &amp; ROI Levers'!G11,0),2)</f>
        <v>96.57</v>
      </c>
      <c r="K90" s="228">
        <f>ROUND(IFERROR('Revenue &amp; Expense'!H44/'Advising Activity &amp; ROI Levers'!H11,0),2)</f>
        <v>90.2</v>
      </c>
      <c r="L90" s="228">
        <f>ROUND(IFERROR('Revenue &amp; Expense'!I44/'Advising Activity &amp; ROI Levers'!I11,0),2)</f>
        <v>90.93</v>
      </c>
      <c r="M90" s="228">
        <f>ROUND(IFERROR('Revenue &amp; Expense'!J44/'Advising Activity &amp; ROI Levers'!J11,0),2)</f>
        <v>90.64</v>
      </c>
      <c r="N90" s="224"/>
    </row>
    <row r="91" spans="2:19" x14ac:dyDescent="0.35">
      <c r="B91" s="215" t="s">
        <v>197</v>
      </c>
      <c r="C91" s="216"/>
      <c r="D91" s="226"/>
      <c r="E91" s="216"/>
      <c r="F91" s="226"/>
      <c r="G91" s="226"/>
      <c r="H91" s="227" t="s">
        <v>182</v>
      </c>
      <c r="I91" s="228">
        <f>ROUND(IFERROR('Revenue &amp; Expense'!F51/'Advising Activity &amp; ROI Levers'!F11,0),2)</f>
        <v>95.32</v>
      </c>
      <c r="J91" s="228">
        <f>ROUND(IFERROR('Revenue &amp; Expense'!G51/'Advising Activity &amp; ROI Levers'!G11,0),2)</f>
        <v>173.01</v>
      </c>
      <c r="K91" s="228">
        <f>ROUND(IFERROR('Revenue &amp; Expense'!H51/'Advising Activity &amp; ROI Levers'!H11,0),2)</f>
        <v>166.8</v>
      </c>
      <c r="L91" s="228">
        <f>ROUND(IFERROR('Revenue &amp; Expense'!I51/'Advising Activity &amp; ROI Levers'!I11,0),2)</f>
        <v>172.37</v>
      </c>
      <c r="M91" s="228">
        <f>ROUND(IFERROR('Revenue &amp; Expense'!J51/'Advising Activity &amp; ROI Levers'!J11,0),2)</f>
        <v>172.11</v>
      </c>
      <c r="N91" s="224"/>
    </row>
    <row r="92" spans="2:19" ht="23.25" customHeight="1" x14ac:dyDescent="0.35">
      <c r="B92" s="215" t="s">
        <v>198</v>
      </c>
      <c r="C92" s="216"/>
      <c r="D92" s="226"/>
      <c r="E92" s="216"/>
      <c r="F92" s="226"/>
      <c r="G92" s="226"/>
      <c r="H92" s="227" t="s">
        <v>182</v>
      </c>
      <c r="I92" s="228">
        <f>'Revenue &amp; Expense'!F54/'Advising Activity &amp; ROI Levers'!F11</f>
        <v>-18.644117179488081</v>
      </c>
      <c r="J92" s="228">
        <f>'Revenue &amp; Expense'!G54/'Advising Activity &amp; ROI Levers'!G11</f>
        <v>-3.135091999999335</v>
      </c>
      <c r="K92" s="228">
        <f>'Revenue &amp; Expense'!H54/'Advising Activity &amp; ROI Levers'!H11</f>
        <v>3.4353498235301059</v>
      </c>
      <c r="L92" s="228">
        <f>'Revenue &amp; Expense'!I54/'Advising Activity &amp; ROI Levers'!I11</f>
        <v>8.6059643130223158</v>
      </c>
      <c r="M92" s="228">
        <f>'Revenue &amp; Expense'!J54/'Advising Activity &amp; ROI Levers'!J11</f>
        <v>8.9329228368006781</v>
      </c>
      <c r="N92" s="224"/>
    </row>
    <row r="93" spans="2:19" x14ac:dyDescent="0.35">
      <c r="B93" s="229" t="s">
        <v>199</v>
      </c>
      <c r="C93" s="230"/>
      <c r="D93" s="231"/>
      <c r="E93" s="230"/>
      <c r="F93" s="231"/>
      <c r="G93" s="231"/>
      <c r="H93" s="232" t="s">
        <v>182</v>
      </c>
      <c r="I93" s="233">
        <f>'Revenue &amp; Expense'!F53/'Advising Activity &amp; ROI Levers'!F11</f>
        <v>41.401139230768329</v>
      </c>
      <c r="J93" s="233">
        <f>'Revenue &amp; Expense'!G53/'Advising Activity &amp; ROI Levers'!G11</f>
        <v>85.793098000000668</v>
      </c>
      <c r="K93" s="233">
        <f>'Revenue &amp; Expense'!H53/'Advising Activity &amp; ROI Levers'!H11</f>
        <v>86.777632223530119</v>
      </c>
      <c r="L93" s="233">
        <f>'Revenue &amp; Expense'!I53/'Advising Activity &amp; ROI Levers'!I11</f>
        <v>92.626614127906066</v>
      </c>
      <c r="M93" s="233">
        <f>'Revenue &amp; Expense'!J53/'Advising Activity &amp; ROI Levers'!J11</f>
        <v>92.686234220455219</v>
      </c>
      <c r="N93" s="225"/>
    </row>
    <row r="94" spans="2:19" x14ac:dyDescent="0.35">
      <c r="D94" s="222"/>
      <c r="E94" s="222"/>
      <c r="F94" s="222"/>
      <c r="G94" s="222"/>
      <c r="H94" s="222"/>
      <c r="I94" s="222"/>
      <c r="J94" s="222"/>
      <c r="K94" s="222"/>
      <c r="L94" s="222"/>
      <c r="M94" s="222"/>
    </row>
    <row r="95" spans="2:19" ht="15.5" x14ac:dyDescent="0.35">
      <c r="B95" s="212" t="s">
        <v>28</v>
      </c>
      <c r="C95" s="213"/>
      <c r="D95" s="213"/>
      <c r="E95" s="213"/>
      <c r="F95" s="213"/>
      <c r="G95" s="213"/>
      <c r="H95" s="213"/>
      <c r="I95" s="213"/>
      <c r="J95" s="213"/>
      <c r="K95" s="213"/>
      <c r="L95" s="213"/>
      <c r="M95" s="213"/>
      <c r="N95" s="214"/>
    </row>
    <row r="96" spans="2:19" x14ac:dyDescent="0.35">
      <c r="B96" s="234" t="s">
        <v>185</v>
      </c>
      <c r="C96" s="235"/>
      <c r="D96" s="235"/>
      <c r="E96" s="235"/>
      <c r="F96" s="236"/>
      <c r="G96" s="236"/>
      <c r="H96" s="237">
        <f>'Revenue &amp; Expense'!E44</f>
        <v>81550</v>
      </c>
      <c r="I96" s="237">
        <f>'Revenue &amp; Expense'!F44</f>
        <v>237176.5</v>
      </c>
      <c r="J96" s="237">
        <f>'Revenue &amp; Expense'!G44</f>
        <v>386272.76</v>
      </c>
      <c r="K96" s="237">
        <f>'Revenue &amp; Expense'!H44</f>
        <v>383335.90019999997</v>
      </c>
      <c r="L96" s="237">
        <f>'Revenue &amp; Expense'!I44</f>
        <v>391002.61820400011</v>
      </c>
      <c r="M96" s="237">
        <f>'Revenue &amp; Expense'!J44</f>
        <v>398822.6705680801</v>
      </c>
      <c r="N96" s="238"/>
    </row>
    <row r="97" spans="2:14" x14ac:dyDescent="0.35">
      <c r="B97" s="234"/>
      <c r="C97" s="235"/>
      <c r="D97" s="235"/>
      <c r="E97" s="235"/>
      <c r="F97" s="236"/>
      <c r="G97" s="236"/>
      <c r="H97" s="236"/>
      <c r="I97" s="236"/>
      <c r="J97" s="236"/>
      <c r="K97" s="236"/>
      <c r="L97" s="236"/>
      <c r="M97" s="236"/>
      <c r="N97" s="238"/>
    </row>
    <row r="98" spans="2:14" x14ac:dyDescent="0.35">
      <c r="B98" s="234" t="s">
        <v>9</v>
      </c>
      <c r="C98" s="235"/>
      <c r="D98" s="235"/>
      <c r="E98" s="235"/>
      <c r="F98" s="239"/>
      <c r="G98" s="239"/>
      <c r="H98" s="239">
        <f>('Revenue &amp; Expense'!E24+'Revenue &amp; Expense'!E25+'Revenue &amp; Expense'!E26+'Revenue &amp; Expense'!E27)/H$96</f>
        <v>0.69343960760269774</v>
      </c>
      <c r="I98" s="239">
        <f>('Revenue &amp; Expense'!F24+'Revenue &amp; Expense'!F25+'Revenue &amp; Expense'!F26+'Revenue &amp; Expense'!F27)/I$96</f>
        <v>0.9241071522684583</v>
      </c>
      <c r="J98" s="239">
        <f>('Revenue &amp; Expense'!G24+'Revenue &amp; Expense'!G25+'Revenue &amp; Expense'!G26+'Revenue &amp; Expense'!G27)/J$96</f>
        <v>0.94729113178987823</v>
      </c>
      <c r="K98" s="239">
        <f>('Revenue &amp; Expense'!H24+'Revenue &amp; Expense'!H25+'Revenue &amp; Expense'!H26+'Revenue &amp; Expense'!H27)/K$96</f>
        <v>0.95114676191238712</v>
      </c>
      <c r="L98" s="239">
        <f>('Revenue &amp; Expense'!I24+'Revenue &amp; Expense'!I25+'Revenue &amp; Expense'!I26+'Revenue &amp; Expense'!I27)/L$96</f>
        <v>0.95114676191238712</v>
      </c>
      <c r="M98" s="239">
        <f>('Revenue &amp; Expense'!J24+'Revenue &amp; Expense'!J25+'Revenue &amp; Expense'!J26+'Revenue &amp; Expense'!J27)/M$96</f>
        <v>0.95114676191238712</v>
      </c>
      <c r="N98" s="240"/>
    </row>
    <row r="99" spans="2:14" x14ac:dyDescent="0.35">
      <c r="B99" s="241" t="s">
        <v>160</v>
      </c>
      <c r="C99" s="242"/>
      <c r="D99" s="242"/>
      <c r="E99" s="242"/>
      <c r="F99" s="243"/>
      <c r="G99" s="243"/>
      <c r="H99" s="243">
        <f>('Revenue &amp; Expense'!E24+'Revenue &amp; Expense'!E25)/H96</f>
        <v>0.69343960760269774</v>
      </c>
      <c r="I99" s="243">
        <f>('Revenue &amp; Expense'!F24+'Revenue &amp; Expense'!F25)/I96</f>
        <v>0.88194445908426844</v>
      </c>
      <c r="J99" s="243">
        <f>('Revenue &amp; Expense'!G24+'Revenue &amp; Expense'!G25)/J96</f>
        <v>0.92088492080052453</v>
      </c>
      <c r="K99" s="243">
        <f>('Revenue &amp; Expense'!H24+'Revenue &amp; Expense'!H25)/K96</f>
        <v>0.92400607408593549</v>
      </c>
      <c r="L99" s="243">
        <f>('Revenue &amp; Expense'!I24+'Revenue &amp; Expense'!I25)/L96</f>
        <v>0.92400607408593549</v>
      </c>
      <c r="M99" s="243">
        <f>('Revenue &amp; Expense'!J24+'Revenue &amp; Expense'!J25)/M96</f>
        <v>0.92400607408593549</v>
      </c>
      <c r="N99" s="244"/>
    </row>
    <row r="100" spans="2:14" x14ac:dyDescent="0.35">
      <c r="B100" s="241" t="s">
        <v>189</v>
      </c>
      <c r="C100" s="242"/>
      <c r="D100" s="242"/>
      <c r="E100" s="242"/>
      <c r="F100" s="243"/>
      <c r="G100" s="243"/>
      <c r="H100" s="243">
        <f>('Revenue &amp; Expense'!E26+'Revenue &amp; Expense'!E27)/H96</f>
        <v>0</v>
      </c>
      <c r="I100" s="243">
        <f>('Revenue &amp; Expense'!F26+'Revenue &amp; Expense'!F27)/I96</f>
        <v>4.2162693184189831E-2</v>
      </c>
      <c r="J100" s="243">
        <f>('Revenue &amp; Expense'!G26+'Revenue &amp; Expense'!G27)/J96</f>
        <v>2.6406210989353741E-2</v>
      </c>
      <c r="K100" s="243">
        <f>('Revenue &amp; Expense'!H26+'Revenue &amp; Expense'!H27)/K96</f>
        <v>2.7140687826451588E-2</v>
      </c>
      <c r="L100" s="243">
        <f>('Revenue &amp; Expense'!I26+'Revenue &amp; Expense'!I27)/L96</f>
        <v>2.7140687826451577E-2</v>
      </c>
      <c r="M100" s="243">
        <f>('Revenue &amp; Expense'!J26+'Revenue &amp; Expense'!J27)/M96</f>
        <v>2.7140687826451577E-2</v>
      </c>
      <c r="N100" s="244"/>
    </row>
    <row r="101" spans="2:14" x14ac:dyDescent="0.35">
      <c r="B101" s="245"/>
      <c r="C101" s="246"/>
      <c r="D101" s="246"/>
      <c r="E101" s="246"/>
      <c r="F101" s="247"/>
      <c r="G101" s="247"/>
      <c r="H101" s="247"/>
      <c r="I101" s="247"/>
      <c r="J101" s="247"/>
      <c r="K101" s="247"/>
      <c r="L101" s="247"/>
      <c r="M101" s="247"/>
      <c r="N101" s="244"/>
    </row>
    <row r="102" spans="2:14" x14ac:dyDescent="0.35">
      <c r="B102" s="234" t="s">
        <v>10</v>
      </c>
      <c r="C102" s="248"/>
      <c r="D102" s="248"/>
      <c r="E102" s="248"/>
      <c r="F102" s="239"/>
      <c r="G102" s="239"/>
      <c r="H102" s="239">
        <f>SUM('Revenue &amp; Expense'!E28:E43)/Dashboard!H96</f>
        <v>0.30656039239730226</v>
      </c>
      <c r="I102" s="239">
        <f>SUM('Revenue &amp; Expense'!F28:F43)/Dashboard!I96</f>
        <v>7.5892847731541702E-2</v>
      </c>
      <c r="J102" s="239">
        <f>SUM('Revenue &amp; Expense'!G28:G43)/Dashboard!J96</f>
        <v>5.270886821012178E-2</v>
      </c>
      <c r="K102" s="239">
        <f>SUM('Revenue &amp; Expense'!H28:H43)/Dashboard!K96</f>
        <v>4.8853238087612862E-2</v>
      </c>
      <c r="L102" s="239">
        <f>SUM('Revenue &amp; Expense'!I28:I43)/Dashboard!L96</f>
        <v>4.8853238087612848E-2</v>
      </c>
      <c r="M102" s="239">
        <f>SUM('Revenue &amp; Expense'!J28:J43)/Dashboard!M96</f>
        <v>4.8853238087612841E-2</v>
      </c>
      <c r="N102" s="238"/>
    </row>
    <row r="103" spans="2:14" x14ac:dyDescent="0.35">
      <c r="B103" s="241" t="s">
        <v>162</v>
      </c>
      <c r="C103" s="242"/>
      <c r="D103" s="249"/>
      <c r="E103" s="249"/>
      <c r="F103" s="250"/>
      <c r="G103" s="250"/>
      <c r="H103" s="250">
        <f>('Revenue &amp; Expense'!E28+'Revenue &amp; Expense'!E29)/Dashboard!H96</f>
        <v>6.1312078479460456E-2</v>
      </c>
      <c r="I103" s="250">
        <f>('Revenue &amp; Expense'!F28+'Revenue &amp; Expense'!F29)/Dashboard!I96</f>
        <v>2.3189481251304409E-2</v>
      </c>
      <c r="J103" s="250">
        <f>('Revenue &amp; Expense'!G28+'Revenue &amp; Expense'!G29)/Dashboard!J96</f>
        <v>1.4523416044144557E-2</v>
      </c>
      <c r="K103" s="250">
        <f>('Revenue &amp; Expense'!H28+'Revenue &amp; Expense'!H29)/Dashboard!K96</f>
        <v>1.4927378304548372E-2</v>
      </c>
      <c r="L103" s="250">
        <f>('Revenue &amp; Expense'!I28+'Revenue &amp; Expense'!I29)/Dashboard!L96</f>
        <v>1.4927378304548369E-2</v>
      </c>
      <c r="M103" s="250">
        <f>('Revenue &amp; Expense'!J28+'Revenue &amp; Expense'!J29)/Dashboard!M96</f>
        <v>1.4927378304548367E-2</v>
      </c>
      <c r="N103" s="251"/>
    </row>
    <row r="104" spans="2:14" x14ac:dyDescent="0.35">
      <c r="B104" s="241" t="s">
        <v>19</v>
      </c>
      <c r="C104" s="242"/>
      <c r="D104" s="249"/>
      <c r="E104" s="249"/>
      <c r="F104" s="250"/>
      <c r="G104" s="250"/>
      <c r="H104" s="250">
        <f>('Revenue &amp; Expense'!E30+'Revenue &amp; Expense'!E31)/Dashboard!H96</f>
        <v>0.18393623543838136</v>
      </c>
      <c r="I104" s="250">
        <f>('Revenue &amp; Expense'!F30+'Revenue &amp; Expense'!F31)/Dashboard!I96</f>
        <v>4.2162693184189831E-2</v>
      </c>
      <c r="J104" s="250">
        <f>('Revenue &amp; Expense'!G30+'Revenue &amp; Expense'!G31)/Dashboard!J96</f>
        <v>3.1583899418638789E-2</v>
      </c>
      <c r="K104" s="250">
        <f>('Revenue &amp; Expense'!H30+'Revenue &amp; Expense'!H31)/Dashboard!K96</f>
        <v>2.7140687826451588E-2</v>
      </c>
      <c r="L104" s="250">
        <f>('Revenue &amp; Expense'!I30+'Revenue &amp; Expense'!I31)/Dashboard!L96</f>
        <v>2.7140687826451577E-2</v>
      </c>
      <c r="M104" s="250">
        <f>('Revenue &amp; Expense'!J30+'Revenue &amp; Expense'!J31)/Dashboard!M96</f>
        <v>2.7140687826451577E-2</v>
      </c>
      <c r="N104" s="251"/>
    </row>
    <row r="105" spans="2:14" x14ac:dyDescent="0.35">
      <c r="B105" s="241" t="s">
        <v>163</v>
      </c>
      <c r="C105" s="242"/>
      <c r="D105" s="249"/>
      <c r="E105" s="249"/>
      <c r="F105" s="250"/>
      <c r="G105" s="250"/>
      <c r="H105" s="250">
        <f>('Revenue &amp; Expense'!E32+'Revenue &amp; Expense'!E33)/Dashboard!H96</f>
        <v>6.1312078479460456E-2</v>
      </c>
      <c r="I105" s="250">
        <f>('Revenue &amp; Expense'!F32+'Revenue &amp; Expense'!F33)/Dashboard!I96</f>
        <v>0</v>
      </c>
      <c r="J105" s="250">
        <f>('Revenue &amp; Expense'!G32+'Revenue &amp; Expense'!G33)/Dashboard!J96</f>
        <v>0</v>
      </c>
      <c r="K105" s="250">
        <f>('Revenue &amp; Expense'!H32+'Revenue &amp; Expense'!H33)/Dashboard!K96</f>
        <v>0</v>
      </c>
      <c r="L105" s="250">
        <f>('Revenue &amp; Expense'!I32+'Revenue &amp; Expense'!I33)/Dashboard!L96</f>
        <v>0</v>
      </c>
      <c r="M105" s="250">
        <f>('Revenue &amp; Expense'!J32+'Revenue &amp; Expense'!J33)/Dashboard!M96</f>
        <v>0</v>
      </c>
      <c r="N105" s="251"/>
    </row>
    <row r="106" spans="2:14" x14ac:dyDescent="0.35">
      <c r="B106" s="241" t="s">
        <v>186</v>
      </c>
      <c r="C106" s="242"/>
      <c r="D106" s="249"/>
      <c r="E106" s="249"/>
      <c r="F106" s="250"/>
      <c r="G106" s="250"/>
      <c r="H106" s="250">
        <f>'Revenue &amp; Expense'!E34/Dashboard!H96</f>
        <v>0</v>
      </c>
      <c r="I106" s="250">
        <f>'Revenue &amp; Expense'!F34/Dashboard!I96</f>
        <v>0</v>
      </c>
      <c r="J106" s="250">
        <f>'Revenue &amp; Expense'!G34/Dashboard!J96</f>
        <v>0</v>
      </c>
      <c r="K106" s="250">
        <f>'Revenue &amp; Expense'!H34/Dashboard!K96</f>
        <v>0</v>
      </c>
      <c r="L106" s="250">
        <f>'Revenue &amp; Expense'!I34/Dashboard!L96</f>
        <v>0</v>
      </c>
      <c r="M106" s="250">
        <f>'Revenue &amp; Expense'!J34/Dashboard!M96</f>
        <v>0</v>
      </c>
      <c r="N106" s="251"/>
    </row>
    <row r="107" spans="2:14" x14ac:dyDescent="0.35">
      <c r="B107" s="241" t="s">
        <v>215</v>
      </c>
      <c r="C107" s="242"/>
      <c r="D107" s="249"/>
      <c r="E107" s="249"/>
      <c r="F107" s="250"/>
      <c r="G107" s="250"/>
      <c r="H107" s="268">
        <f>SUM('Revenue &amp; Expense'!E38:E41)/Dashboard!H96</f>
        <v>0</v>
      </c>
      <c r="I107" s="268">
        <f>SUM('Revenue &amp; Expense'!F38:F41)/Dashboard!I96</f>
        <v>1.0540673296047458E-2</v>
      </c>
      <c r="J107" s="268">
        <f>SUM('Revenue &amp; Expense'!G38:G41)/Dashboard!J96</f>
        <v>6.6015527473384352E-3</v>
      </c>
      <c r="K107" s="268">
        <f>SUM('Revenue &amp; Expense'!H38:H41)/Dashboard!K96</f>
        <v>6.785171956612897E-3</v>
      </c>
      <c r="L107" s="268">
        <f>SUM('Revenue &amp; Expense'!I38:I41)/Dashboard!L96</f>
        <v>6.7851719566128944E-3</v>
      </c>
      <c r="M107" s="268">
        <f>SUM('Revenue &amp; Expense'!J38:J41)/Dashboard!M96</f>
        <v>6.7851719566128944E-3</v>
      </c>
      <c r="N107" s="251"/>
    </row>
    <row r="108" spans="2:14" x14ac:dyDescent="0.35">
      <c r="B108" s="241" t="s">
        <v>187</v>
      </c>
      <c r="C108" s="242"/>
      <c r="D108" s="249"/>
      <c r="E108" s="249"/>
      <c r="F108" s="250"/>
      <c r="G108" s="250"/>
      <c r="H108" s="250">
        <f>('Revenue &amp; Expense'!E35+'Revenue &amp; Expense'!E36)/Dashboard!H96</f>
        <v>0</v>
      </c>
      <c r="I108" s="250">
        <f>('Revenue &amp; Expense'!F35+'Revenue &amp; Expense'!F36)/Dashboard!I96</f>
        <v>0</v>
      </c>
      <c r="J108" s="250">
        <f>('Revenue &amp; Expense'!G35+'Revenue &amp; Expense'!G36)/Dashboard!J96</f>
        <v>0</v>
      </c>
      <c r="K108" s="250">
        <f>('Revenue &amp; Expense'!H35+'Revenue &amp; Expense'!H36)/Dashboard!K96</f>
        <v>0</v>
      </c>
      <c r="L108" s="250">
        <f>('Revenue &amp; Expense'!I35+'Revenue &amp; Expense'!I36)/Dashboard!L96</f>
        <v>0</v>
      </c>
      <c r="M108" s="250">
        <f>('Revenue &amp; Expense'!J35+'Revenue &amp; Expense'!J36)/Dashboard!M96</f>
        <v>0</v>
      </c>
      <c r="N108" s="251"/>
    </row>
    <row r="109" spans="2:14" x14ac:dyDescent="0.35">
      <c r="B109" s="252" t="s">
        <v>188</v>
      </c>
      <c r="C109" s="253"/>
      <c r="D109" s="254"/>
      <c r="E109" s="254"/>
      <c r="F109" s="255"/>
      <c r="G109" s="255"/>
      <c r="H109" s="255">
        <f>('Revenue &amp; Expense'!E42+'Revenue &amp; Expense'!E43)/Dashboard!H96</f>
        <v>0</v>
      </c>
      <c r="I109" s="255">
        <f>('Revenue &amp; Expense'!F42)/Dashboard!I96</f>
        <v>0</v>
      </c>
      <c r="J109" s="255">
        <f>('Revenue &amp; Expense'!G42)/Dashboard!J96</f>
        <v>0</v>
      </c>
      <c r="K109" s="255">
        <f>('Revenue &amp; Expense'!H42)/Dashboard!K96</f>
        <v>0</v>
      </c>
      <c r="L109" s="255">
        <f>('Revenue &amp; Expense'!I42)/Dashboard!L96</f>
        <v>0</v>
      </c>
      <c r="M109" s="255">
        <f>('Revenue &amp; Expense'!J42)/Dashboard!M96</f>
        <v>0</v>
      </c>
      <c r="N109" s="256"/>
    </row>
    <row r="114" spans="2:13" x14ac:dyDescent="0.35">
      <c r="B114" s="257"/>
      <c r="C114" s="257"/>
      <c r="D114" s="257"/>
      <c r="E114" s="257"/>
      <c r="F114" s="257"/>
      <c r="G114" s="257"/>
      <c r="H114" s="257"/>
      <c r="I114" s="257"/>
      <c r="J114" s="257"/>
      <c r="K114" s="257"/>
      <c r="L114" s="257"/>
      <c r="M114" s="257"/>
    </row>
  </sheetData>
  <sheetProtection algorithmName="SHA-512" hashValue="mckwifyNNybBBlQVUFcDIC06veuCV1wR0/uzgTvkJoN0pp0Py+2zOv/ktjqoGcXreYwhCs3DdGdclNH0tXS3pw==" saltValue="RQCJScaOUBNIHjohAjB+kQ==" spinCount="100000" sheet="1" objects="1" scenarios="1"/>
  <mergeCells count="7">
    <mergeCell ref="O64:Z66"/>
    <mergeCell ref="B23:M23"/>
    <mergeCell ref="O23:W23"/>
    <mergeCell ref="B43:M44"/>
    <mergeCell ref="AB45:AM46"/>
    <mergeCell ref="B64:M66"/>
    <mergeCell ref="O43:Z4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D9E6-310B-4D21-80DF-A5AC14C6E511}">
  <sheetPr>
    <tabColor theme="4" tint="0.79998168889431442"/>
  </sheetPr>
  <dimension ref="A1:J57"/>
  <sheetViews>
    <sheetView showZeros="0" zoomScale="90" zoomScaleNormal="90" workbookViewId="0"/>
  </sheetViews>
  <sheetFormatPr defaultColWidth="10.26953125" defaultRowHeight="14.5" x14ac:dyDescent="0.35"/>
  <cols>
    <col min="1" max="1" width="66.1796875" style="77" bestFit="1" customWidth="1"/>
    <col min="2" max="2" width="11.26953125" style="77" bestFit="1" customWidth="1"/>
    <col min="3" max="3" width="12.453125" style="77" bestFit="1" customWidth="1"/>
    <col min="4" max="7" width="10.54296875" style="77" bestFit="1" customWidth="1"/>
    <col min="8" max="8" width="12.1796875" style="77" bestFit="1" customWidth="1"/>
    <col min="9" max="9" width="10.26953125" style="77"/>
    <col min="10" max="10" width="39.7265625" style="77" bestFit="1" customWidth="1"/>
    <col min="11" max="16384" width="10.26953125" style="77"/>
  </cols>
  <sheetData>
    <row r="1" spans="1:10" x14ac:dyDescent="0.35">
      <c r="B1" s="181" t="s">
        <v>0</v>
      </c>
      <c r="C1" s="181" t="s">
        <v>1</v>
      </c>
      <c r="D1" s="181" t="s">
        <v>2</v>
      </c>
      <c r="E1" s="181" t="s">
        <v>3</v>
      </c>
      <c r="F1" s="181" t="s">
        <v>4</v>
      </c>
      <c r="G1" s="181" t="s">
        <v>5</v>
      </c>
      <c r="H1" s="182" t="s">
        <v>152</v>
      </c>
    </row>
    <row r="2" spans="1:10" x14ac:dyDescent="0.35">
      <c r="A2" s="183" t="s">
        <v>153</v>
      </c>
      <c r="B2" s="184" t="str">
        <f>Assumptions!D6</f>
        <v>2022-23</v>
      </c>
      <c r="C2" s="184" t="str">
        <f>Assumptions!E6</f>
        <v>2023-24</v>
      </c>
      <c r="D2" s="184" t="str">
        <f>Assumptions!F6</f>
        <v>2024-25</v>
      </c>
      <c r="E2" s="184" t="str">
        <f>Assumptions!G6</f>
        <v>2025-26</v>
      </c>
      <c r="F2" s="184" t="str">
        <f>Assumptions!H6</f>
        <v>2026-27</v>
      </c>
      <c r="G2" s="184" t="str">
        <f>Assumptions!I6</f>
        <v>2027-28</v>
      </c>
      <c r="H2" s="185" t="s">
        <v>170</v>
      </c>
    </row>
    <row r="3" spans="1:10" x14ac:dyDescent="0.35">
      <c r="A3" s="77" t="s">
        <v>92</v>
      </c>
      <c r="B3" s="186">
        <f>'Revenue &amp; Expense'!E18</f>
        <v>81550</v>
      </c>
      <c r="C3" s="186">
        <f>'Revenue &amp; Expense'!F18</f>
        <v>234176.5</v>
      </c>
      <c r="D3" s="186">
        <f>'Revenue &amp; Expense'!G18</f>
        <v>355712.76</v>
      </c>
      <c r="E3" s="186">
        <f>'Revenue &amp; Expense'!H18</f>
        <v>354204.70019999996</v>
      </c>
      <c r="F3" s="186">
        <f>'Revenue &amp; Expense'!I18</f>
        <v>361288.79420400009</v>
      </c>
      <c r="G3" s="186">
        <f>'Revenue &amp; Expense'!J18</f>
        <v>368514.57008808007</v>
      </c>
      <c r="H3" s="187">
        <f>SUM(B3:G3)</f>
        <v>1755447.3244920801</v>
      </c>
      <c r="J3" s="77" t="s">
        <v>154</v>
      </c>
    </row>
    <row r="4" spans="1:10" x14ac:dyDescent="0.35">
      <c r="A4" s="77" t="s">
        <v>155</v>
      </c>
      <c r="B4" s="186">
        <f>'Revenue &amp; Expense'!E44</f>
        <v>81550</v>
      </c>
      <c r="C4" s="186">
        <f>'Revenue &amp; Expense'!F44</f>
        <v>237176.5</v>
      </c>
      <c r="D4" s="186">
        <f>'Revenue &amp; Expense'!G44</f>
        <v>386272.76</v>
      </c>
      <c r="E4" s="186">
        <f>'Revenue &amp; Expense'!H44</f>
        <v>383335.90019999997</v>
      </c>
      <c r="F4" s="186">
        <f>'Revenue &amp; Expense'!I44</f>
        <v>391002.61820400011</v>
      </c>
      <c r="G4" s="186">
        <f>'Revenue &amp; Expense'!J44</f>
        <v>398822.6705680801</v>
      </c>
      <c r="H4" s="187">
        <f>SUM(B4:G4)</f>
        <v>1878160.4489720804</v>
      </c>
      <c r="J4" s="77" t="s">
        <v>156</v>
      </c>
    </row>
    <row r="5" spans="1:10" ht="15" thickBot="1" x14ac:dyDescent="0.4">
      <c r="A5" s="183" t="s">
        <v>157</v>
      </c>
      <c r="B5" s="188">
        <f>B3-B4</f>
        <v>0</v>
      </c>
      <c r="C5" s="188">
        <f t="shared" ref="C5:G5" si="0">C3-C4</f>
        <v>-3000</v>
      </c>
      <c r="D5" s="188">
        <f t="shared" si="0"/>
        <v>-30560</v>
      </c>
      <c r="E5" s="188">
        <f t="shared" si="0"/>
        <v>-29131.200000000012</v>
      </c>
      <c r="F5" s="188">
        <f t="shared" si="0"/>
        <v>-29713.824000000022</v>
      </c>
      <c r="G5" s="188">
        <f t="shared" si="0"/>
        <v>-30308.100480000023</v>
      </c>
      <c r="H5" s="189">
        <f>H3-H4</f>
        <v>-122713.12448000023</v>
      </c>
    </row>
    <row r="6" spans="1:10" x14ac:dyDescent="0.35">
      <c r="A6" s="190" t="s">
        <v>158</v>
      </c>
      <c r="B6" s="191">
        <f>'[1]Revenue &amp; Expense'!D18-'[1]Revenue &amp; Expense'!D37</f>
        <v>0</v>
      </c>
      <c r="C6" s="191">
        <f>'[1]Revenue &amp; Expense'!E18-'[1]Revenue &amp; Expense'!E37</f>
        <v>0</v>
      </c>
      <c r="D6" s="191"/>
      <c r="E6" s="191"/>
      <c r="F6" s="191"/>
      <c r="G6" s="191"/>
      <c r="H6" s="192"/>
    </row>
    <row r="7" spans="1:10" x14ac:dyDescent="0.35">
      <c r="A7" s="190"/>
      <c r="B7" s="191"/>
      <c r="C7" s="191"/>
      <c r="D7" s="191"/>
      <c r="E7" s="191"/>
      <c r="F7" s="191"/>
      <c r="G7" s="191"/>
    </row>
    <row r="8" spans="1:10" x14ac:dyDescent="0.35">
      <c r="A8" s="190"/>
      <c r="B8" s="191"/>
      <c r="C8" s="191"/>
      <c r="D8" s="191"/>
      <c r="E8" s="191"/>
      <c r="F8" s="191"/>
      <c r="G8" s="191"/>
    </row>
    <row r="9" spans="1:10" x14ac:dyDescent="0.35">
      <c r="B9" s="181" t="s">
        <v>0</v>
      </c>
      <c r="C9" s="181" t="s">
        <v>1</v>
      </c>
      <c r="D9" s="181" t="s">
        <v>2</v>
      </c>
      <c r="E9" s="181" t="s">
        <v>3</v>
      </c>
      <c r="F9" s="181" t="s">
        <v>4</v>
      </c>
      <c r="G9" s="181" t="s">
        <v>5</v>
      </c>
      <c r="H9" s="182" t="s">
        <v>152</v>
      </c>
    </row>
    <row r="10" spans="1:10" x14ac:dyDescent="0.35">
      <c r="A10" s="183" t="s">
        <v>159</v>
      </c>
      <c r="B10" s="184" t="str">
        <f>Assumptions!D6</f>
        <v>2022-23</v>
      </c>
      <c r="C10" s="184" t="str">
        <f>Assumptions!E6</f>
        <v>2023-24</v>
      </c>
      <c r="D10" s="184" t="str">
        <f>Assumptions!F6</f>
        <v>2024-25</v>
      </c>
      <c r="E10" s="184" t="str">
        <f>Assumptions!G6</f>
        <v>2025-26</v>
      </c>
      <c r="F10" s="184" t="str">
        <f>Assumptions!H6</f>
        <v>2026-27</v>
      </c>
      <c r="G10" s="184" t="str">
        <f>Assumptions!I6</f>
        <v>2027-28</v>
      </c>
      <c r="H10" s="185" t="str">
        <f>H$2</f>
        <v>2023-2028</v>
      </c>
    </row>
    <row r="11" spans="1:10" x14ac:dyDescent="0.35">
      <c r="A11" s="77" t="s">
        <v>160</v>
      </c>
      <c r="B11" s="186">
        <f>'Revenue &amp; Expense'!E24+'Revenue &amp; Expense'!E25</f>
        <v>56550</v>
      </c>
      <c r="C11" s="186">
        <f>'Revenue &amp; Expense'!F24+'Revenue &amp; Expense'!F25</f>
        <v>209176.5</v>
      </c>
      <c r="D11" s="186">
        <f>'Revenue &amp; Expense'!G24+'Revenue &amp; Expense'!G25</f>
        <v>355712.76</v>
      </c>
      <c r="E11" s="186">
        <f>'Revenue &amp; Expense'!H24+'Revenue &amp; Expense'!H25</f>
        <v>354204.70019999996</v>
      </c>
      <c r="F11" s="186">
        <f>'Revenue &amp; Expense'!I24+'Revenue &amp; Expense'!I25</f>
        <v>361288.79420400009</v>
      </c>
      <c r="G11" s="186">
        <f>'Revenue &amp; Expense'!J24+'Revenue &amp; Expense'!J25</f>
        <v>368514.57008808007</v>
      </c>
      <c r="H11" s="187">
        <f>IF(SUM(B11:G11)&lt;&gt;0,SUM(B11:G11),"")</f>
        <v>1705447.3244920801</v>
      </c>
      <c r="J11" s="77" t="s">
        <v>161</v>
      </c>
    </row>
    <row r="12" spans="1:10" x14ac:dyDescent="0.35">
      <c r="A12" s="77" t="s">
        <v>189</v>
      </c>
      <c r="B12" s="186">
        <f>'Revenue &amp; Expense'!E26+'Revenue &amp; Expense'!E27</f>
        <v>0</v>
      </c>
      <c r="C12" s="186">
        <f>'Revenue &amp; Expense'!F26+'Revenue &amp; Expense'!F27</f>
        <v>10000</v>
      </c>
      <c r="D12" s="186">
        <f>'Revenue &amp; Expense'!G26+'Revenue &amp; Expense'!G27</f>
        <v>10200</v>
      </c>
      <c r="E12" s="186">
        <f>'Revenue &amp; Expense'!H26+'Revenue &amp; Expense'!H27</f>
        <v>10404</v>
      </c>
      <c r="F12" s="186">
        <f>'Revenue &amp; Expense'!I26+'Revenue &amp; Expense'!I27</f>
        <v>10612.08</v>
      </c>
      <c r="G12" s="186">
        <f>'Revenue &amp; Expense'!J26+'Revenue &amp; Expense'!J27</f>
        <v>10824.321599999999</v>
      </c>
      <c r="H12" s="187">
        <f>IF(SUM(B12:G12)&lt;&gt;0,SUM(B12:G12),"")</f>
        <v>52040.401599999997</v>
      </c>
    </row>
    <row r="13" spans="1:10" x14ac:dyDescent="0.35">
      <c r="A13" s="77" t="s">
        <v>162</v>
      </c>
      <c r="B13" s="186">
        <f>'Revenue &amp; Expense'!E28+'Revenue &amp; Expense'!E29</f>
        <v>5000</v>
      </c>
      <c r="C13" s="186">
        <f>'Revenue &amp; Expense'!F28+'Revenue &amp; Expense'!F29</f>
        <v>5500</v>
      </c>
      <c r="D13" s="186">
        <f>'Revenue &amp; Expense'!G28+'Revenue &amp; Expense'!G29</f>
        <v>5610</v>
      </c>
      <c r="E13" s="186">
        <f>'Revenue &amp; Expense'!H28+'Revenue &amp; Expense'!H29</f>
        <v>5722.2</v>
      </c>
      <c r="F13" s="186">
        <f>'Revenue &amp; Expense'!I28+'Revenue &amp; Expense'!I29</f>
        <v>5836.6440000000002</v>
      </c>
      <c r="G13" s="186">
        <f>'Revenue &amp; Expense'!J28+'Revenue &amp; Expense'!J29</f>
        <v>5953.3768799999998</v>
      </c>
      <c r="H13" s="187">
        <f t="shared" ref="H13:H16" si="1">IF(SUM(B13:G13)&lt;&gt;0,SUM(B13:G13),"")</f>
        <v>33622.220880000001</v>
      </c>
    </row>
    <row r="14" spans="1:10" x14ac:dyDescent="0.35">
      <c r="A14" s="77" t="s">
        <v>19</v>
      </c>
      <c r="B14" s="186">
        <f>'Revenue &amp; Expense'!E30+'Revenue &amp; Expense'!E31</f>
        <v>15000</v>
      </c>
      <c r="C14" s="186">
        <f>'Revenue &amp; Expense'!F30+'Revenue &amp; Expense'!F31</f>
        <v>10000</v>
      </c>
      <c r="D14" s="186">
        <f>'Revenue &amp; Expense'!G30+'Revenue &amp; Expense'!G31</f>
        <v>12200</v>
      </c>
      <c r="E14" s="186">
        <f>'Revenue &amp; Expense'!H30+'Revenue &amp; Expense'!H31</f>
        <v>10404</v>
      </c>
      <c r="F14" s="186">
        <f>'Revenue &amp; Expense'!I30+'Revenue &amp; Expense'!I31</f>
        <v>10612.08</v>
      </c>
      <c r="G14" s="186">
        <f>'Revenue &amp; Expense'!J30+'Revenue &amp; Expense'!J31</f>
        <v>10824.321599999999</v>
      </c>
      <c r="H14" s="187">
        <f t="shared" si="1"/>
        <v>69040.401599999997</v>
      </c>
    </row>
    <row r="15" spans="1:10" x14ac:dyDescent="0.35">
      <c r="A15" s="77" t="s">
        <v>163</v>
      </c>
      <c r="B15" s="186">
        <f>'Revenue &amp; Expense'!E32+'Revenue &amp; Expense'!E33</f>
        <v>5000</v>
      </c>
      <c r="C15" s="186">
        <f>'Revenue &amp; Expense'!F32+'Revenue &amp; Expense'!F33</f>
        <v>0</v>
      </c>
      <c r="D15" s="186">
        <f>'Revenue &amp; Expense'!G32+'Revenue &amp; Expense'!G33</f>
        <v>0</v>
      </c>
      <c r="E15" s="186">
        <f>'Revenue &amp; Expense'!H32+'Revenue &amp; Expense'!H33</f>
        <v>0</v>
      </c>
      <c r="F15" s="186">
        <f>'Revenue &amp; Expense'!I32+'Revenue &amp; Expense'!I33</f>
        <v>0</v>
      </c>
      <c r="G15" s="186">
        <f>'Revenue &amp; Expense'!J32+'Revenue &amp; Expense'!J33</f>
        <v>0</v>
      </c>
      <c r="H15" s="187">
        <f t="shared" si="1"/>
        <v>5000</v>
      </c>
    </row>
    <row r="16" spans="1:10" x14ac:dyDescent="0.35">
      <c r="A16" s="77" t="s">
        <v>194</v>
      </c>
      <c r="B16" s="186">
        <f>'Revenue &amp; Expense'!E38+'Revenue &amp; Expense'!E39+'Revenue &amp; Expense'!E40+'Revenue &amp; Expense'!E41</f>
        <v>0</v>
      </c>
      <c r="C16" s="186">
        <f>'Revenue &amp; Expense'!F38+'Revenue &amp; Expense'!F39+'Revenue &amp; Expense'!F40+'Revenue &amp; Expense'!F41</f>
        <v>2500</v>
      </c>
      <c r="D16" s="186">
        <f>'Revenue &amp; Expense'!G38+'Revenue &amp; Expense'!G39+'Revenue &amp; Expense'!G40+'Revenue &amp; Expense'!G41</f>
        <v>2550</v>
      </c>
      <c r="E16" s="186">
        <f>'Revenue &amp; Expense'!H38+'Revenue &amp; Expense'!H39+'Revenue &amp; Expense'!H40+'Revenue &amp; Expense'!H41</f>
        <v>2601</v>
      </c>
      <c r="F16" s="186">
        <f>'Revenue &amp; Expense'!I38+'Revenue &amp; Expense'!I39+'Revenue &amp; Expense'!I40+'Revenue &amp; Expense'!I41</f>
        <v>2653.02</v>
      </c>
      <c r="G16" s="186">
        <f>'Revenue &amp; Expense'!J38+'Revenue &amp; Expense'!J39+'Revenue &amp; Expense'!J40+'Revenue &amp; Expense'!J41</f>
        <v>2706.0803999999998</v>
      </c>
      <c r="H16" s="187">
        <f t="shared" si="1"/>
        <v>13010.100399999999</v>
      </c>
    </row>
    <row r="17" spans="1:10" x14ac:dyDescent="0.35">
      <c r="A17" s="77" t="s">
        <v>164</v>
      </c>
      <c r="B17" s="186">
        <f>'Revenue &amp; Expense'!E34+'Revenue &amp; Expense'!E35+'Revenue &amp; Expense'!E36+'Revenue &amp; Expense'!E42+'Revenue &amp; Expense'!E43</f>
        <v>0</v>
      </c>
      <c r="C17" s="186">
        <f>'Revenue &amp; Expense'!F34+'Revenue &amp; Expense'!F35+'Revenue &amp; Expense'!F36+'Revenue &amp; Expense'!F42</f>
        <v>0</v>
      </c>
      <c r="D17" s="186">
        <f>'Revenue &amp; Expense'!G34+'Revenue &amp; Expense'!G35+'Revenue &amp; Expense'!G36+'Revenue &amp; Expense'!G42</f>
        <v>0</v>
      </c>
      <c r="E17" s="186">
        <f>'Revenue &amp; Expense'!H34+'Revenue &amp; Expense'!H35+'Revenue &amp; Expense'!H36+'Revenue &amp; Expense'!H42</f>
        <v>0</v>
      </c>
      <c r="F17" s="186">
        <f>'Revenue &amp; Expense'!I34+'Revenue &amp; Expense'!I35+'Revenue &amp; Expense'!I36+'Revenue &amp; Expense'!I42</f>
        <v>0</v>
      </c>
      <c r="G17" s="186">
        <f>'Revenue &amp; Expense'!J34+'Revenue &amp; Expense'!J35+'Revenue &amp; Expense'!J36+'Revenue &amp; Expense'!J42</f>
        <v>0</v>
      </c>
      <c r="H17" s="187" t="e">
        <f>IF(SUM(B17:G17)&lt;&gt;0,SUM(B17:G17),NA())</f>
        <v>#N/A</v>
      </c>
      <c r="J17" s="77" t="s">
        <v>165</v>
      </c>
    </row>
    <row r="18" spans="1:10" ht="15" thickBot="1" x14ac:dyDescent="0.4">
      <c r="A18" s="183" t="s">
        <v>83</v>
      </c>
      <c r="B18" s="188">
        <f t="shared" ref="B18:H18" si="2">SUM(B11:B17)</f>
        <v>81550</v>
      </c>
      <c r="C18" s="188">
        <f t="shared" si="2"/>
        <v>237176.5</v>
      </c>
      <c r="D18" s="188">
        <f t="shared" si="2"/>
        <v>386272.76</v>
      </c>
      <c r="E18" s="188">
        <f t="shared" si="2"/>
        <v>383335.90019999997</v>
      </c>
      <c r="F18" s="188">
        <f t="shared" si="2"/>
        <v>391002.61820400011</v>
      </c>
      <c r="G18" s="188">
        <f t="shared" si="2"/>
        <v>398822.6705680801</v>
      </c>
      <c r="H18" s="189" t="e">
        <f t="shared" si="2"/>
        <v>#N/A</v>
      </c>
    </row>
    <row r="19" spans="1:10" x14ac:dyDescent="0.35">
      <c r="A19" s="190" t="s">
        <v>158</v>
      </c>
      <c r="B19" s="191">
        <f>'Revenue &amp; Expense'!E44</f>
        <v>81550</v>
      </c>
      <c r="C19" s="191">
        <f>'Revenue &amp; Expense'!F44</f>
        <v>237176.5</v>
      </c>
      <c r="D19" s="191">
        <f>'Revenue &amp; Expense'!G44</f>
        <v>386272.76</v>
      </c>
      <c r="E19" s="191">
        <f>'Revenue &amp; Expense'!H44</f>
        <v>383335.90019999997</v>
      </c>
      <c r="F19" s="191">
        <f>'Revenue &amp; Expense'!I44</f>
        <v>391002.61820400011</v>
      </c>
      <c r="G19" s="191">
        <f>'Revenue &amp; Expense'!J44</f>
        <v>398822.6705680801</v>
      </c>
      <c r="H19" s="192">
        <f>SUM(B19:G19)</f>
        <v>1878160.4489720804</v>
      </c>
    </row>
    <row r="20" spans="1:10" x14ac:dyDescent="0.35">
      <c r="A20" s="190"/>
      <c r="B20" s="191"/>
      <c r="C20" s="191"/>
      <c r="D20" s="191"/>
      <c r="E20" s="191"/>
      <c r="F20" s="191"/>
      <c r="G20" s="191"/>
    </row>
    <row r="22" spans="1:10" x14ac:dyDescent="0.35">
      <c r="B22" s="181" t="s">
        <v>0</v>
      </c>
      <c r="C22" s="181" t="s">
        <v>1</v>
      </c>
      <c r="D22" s="181" t="s">
        <v>2</v>
      </c>
      <c r="E22" s="181" t="s">
        <v>3</v>
      </c>
      <c r="F22" s="181" t="s">
        <v>4</v>
      </c>
      <c r="G22" s="181" t="s">
        <v>5</v>
      </c>
      <c r="H22" s="182" t="s">
        <v>152</v>
      </c>
    </row>
    <row r="23" spans="1:10" x14ac:dyDescent="0.35">
      <c r="A23" s="183" t="s">
        <v>166</v>
      </c>
      <c r="B23" s="184" t="str">
        <f>Assumptions!D6</f>
        <v>2022-23</v>
      </c>
      <c r="C23" s="184" t="str">
        <f>Assumptions!E6</f>
        <v>2023-24</v>
      </c>
      <c r="D23" s="184" t="str">
        <f>Assumptions!F6</f>
        <v>2024-25</v>
      </c>
      <c r="E23" s="184" t="str">
        <f>Assumptions!G6</f>
        <v>2025-26</v>
      </c>
      <c r="F23" s="184" t="str">
        <f>Assumptions!H6</f>
        <v>2026-27</v>
      </c>
      <c r="G23" s="184" t="str">
        <f>Assumptions!I6</f>
        <v>2027-28</v>
      </c>
      <c r="H23" s="185" t="str">
        <f>H$2</f>
        <v>2023-2028</v>
      </c>
    </row>
    <row r="24" spans="1:10" x14ac:dyDescent="0.35">
      <c r="A24" s="77" t="s">
        <v>214</v>
      </c>
      <c r="B24" s="193">
        <f>'[1]Activity &amp; Pricing'!D14</f>
        <v>0</v>
      </c>
      <c r="C24" s="261">
        <f>Dashboard!I85</f>
        <v>0.6</v>
      </c>
      <c r="D24" s="261">
        <f>Dashboard!J85</f>
        <v>0.60929169840060926</v>
      </c>
      <c r="E24" s="261">
        <f>Dashboard!K85</f>
        <v>0.6409628015352945</v>
      </c>
      <c r="F24" s="261">
        <f>Dashboard!L85</f>
        <v>0.64208271324444177</v>
      </c>
      <c r="G24" s="261">
        <f>Dashboard!M85</f>
        <v>0.65050977164990642</v>
      </c>
      <c r="H24" s="263">
        <f>SUM('Advising Activity &amp; ROI Levers'!F11:J11)/SUM('Advising Activity &amp; ROI Levers'!F9:J9)</f>
        <v>0.62883535722939965</v>
      </c>
      <c r="J24" s="194"/>
    </row>
    <row r="25" spans="1:10" ht="15" thickBot="1" x14ac:dyDescent="0.4">
      <c r="A25" s="77" t="s">
        <v>200</v>
      </c>
      <c r="B25" s="195"/>
      <c r="C25" s="195">
        <f>C4/'Advising Activity &amp; ROI Levers'!F11</f>
        <v>60.81448717948718</v>
      </c>
      <c r="D25" s="195">
        <f>D4/'Advising Activity &amp; ROI Levers'!G11</f>
        <v>96.568190000000001</v>
      </c>
      <c r="E25" s="195">
        <f>E4/'Advising Activity &amp; ROI Levers'!H11</f>
        <v>90.1966824</v>
      </c>
      <c r="F25" s="195">
        <f>F4/'Advising Activity &amp; ROI Levers'!I11</f>
        <v>90.930841442790722</v>
      </c>
      <c r="G25" s="195">
        <f>G4/'Advising Activity &amp; ROI Levers'!J11</f>
        <v>90.641516038200024</v>
      </c>
      <c r="H25" s="195">
        <f>SUM(C4:G4)/SUM('Advising Activity &amp; ROI Levers'!F11:J11)</f>
        <v>86.168366857174121</v>
      </c>
      <c r="J25" s="262" t="s">
        <v>201</v>
      </c>
    </row>
    <row r="26" spans="1:10" x14ac:dyDescent="0.35">
      <c r="A26" s="190" t="s">
        <v>158</v>
      </c>
      <c r="B26" s="196"/>
      <c r="C26" s="196">
        <f>Dashboard!I90</f>
        <v>60.81</v>
      </c>
      <c r="D26" s="196">
        <f>Dashboard!J90</f>
        <v>96.57</v>
      </c>
      <c r="E26" s="196">
        <f>Dashboard!K90</f>
        <v>90.2</v>
      </c>
      <c r="F26" s="196">
        <f>Dashboard!L90</f>
        <v>90.93</v>
      </c>
      <c r="G26" s="196">
        <f>Dashboard!M90</f>
        <v>90.64</v>
      </c>
      <c r="H26" s="203">
        <f>SUM(C4:G4)/SUM('Advising Activity &amp; ROI Levers'!F11:J11)</f>
        <v>86.168366857174121</v>
      </c>
    </row>
    <row r="27" spans="1:10" x14ac:dyDescent="0.35">
      <c r="J27" s="194"/>
    </row>
    <row r="28" spans="1:10" s="197" customFormat="1" x14ac:dyDescent="0.35">
      <c r="B28" s="181" t="s">
        <v>0</v>
      </c>
      <c r="C28" s="181" t="s">
        <v>1</v>
      </c>
      <c r="D28" s="181" t="s">
        <v>2</v>
      </c>
      <c r="E28" s="181" t="s">
        <v>3</v>
      </c>
      <c r="F28" s="181" t="s">
        <v>4</v>
      </c>
      <c r="G28" s="181" t="s">
        <v>5</v>
      </c>
      <c r="H28" s="182" t="s">
        <v>152</v>
      </c>
    </row>
    <row r="29" spans="1:10" s="197" customFormat="1" x14ac:dyDescent="0.35">
      <c r="A29" s="198" t="s">
        <v>208</v>
      </c>
      <c r="B29" s="184" t="str">
        <f>Assumptions!D6</f>
        <v>2022-23</v>
      </c>
      <c r="C29" s="184" t="str">
        <f>Assumptions!E6</f>
        <v>2023-24</v>
      </c>
      <c r="D29" s="184" t="str">
        <f>Assumptions!F6</f>
        <v>2024-25</v>
      </c>
      <c r="E29" s="184" t="str">
        <f>Assumptions!G6</f>
        <v>2025-26</v>
      </c>
      <c r="F29" s="184" t="str">
        <f>Assumptions!H6</f>
        <v>2026-27</v>
      </c>
      <c r="G29" s="184" t="str">
        <f>Assumptions!I6</f>
        <v>2027-28</v>
      </c>
      <c r="H29" s="185" t="str">
        <f>H$2</f>
        <v>2023-2028</v>
      </c>
      <c r="I29" s="74"/>
      <c r="J29" s="74"/>
    </row>
    <row r="30" spans="1:10" s="197" customFormat="1" x14ac:dyDescent="0.35">
      <c r="A30" s="74" t="s">
        <v>212</v>
      </c>
      <c r="B30" s="199"/>
      <c r="C30" s="264">
        <f>Dashboard!I86</f>
        <v>0.43440051058767709</v>
      </c>
      <c r="D30" s="264">
        <f>Dashboard!J86</f>
        <v>0.43440051058767709</v>
      </c>
      <c r="E30" s="264">
        <f>Dashboard!K86</f>
        <v>0.43440051058767709</v>
      </c>
      <c r="F30" s="264">
        <f>Dashboard!L86</f>
        <v>0.43440051058767704</v>
      </c>
      <c r="G30" s="264">
        <f>Dashboard!M86</f>
        <v>0.43440051058767704</v>
      </c>
      <c r="H30" s="266">
        <f>SUM('Advising Activity &amp; ROI Levers'!F9:J9)/SUM('Institution Data'!F12:J12)</f>
        <v>0.43440051058767709</v>
      </c>
      <c r="I30" s="74"/>
      <c r="J30" s="74"/>
    </row>
    <row r="31" spans="1:10" s="197" customFormat="1" ht="15" thickBot="1" x14ac:dyDescent="0.4">
      <c r="A31" s="74" t="s">
        <v>213</v>
      </c>
      <c r="B31" s="200"/>
      <c r="C31" s="265">
        <f>Dashboard!I87</f>
        <v>0.26064030635260627</v>
      </c>
      <c r="D31" s="265">
        <f>Dashboard!J87</f>
        <v>0.26467662488205762</v>
      </c>
      <c r="E31" s="265">
        <f>Dashboard!K87</f>
        <v>0.27843456825463986</v>
      </c>
      <c r="F31" s="265">
        <f>Dashboard!L87</f>
        <v>0.27892105847290649</v>
      </c>
      <c r="G31" s="265">
        <f>Dashboard!M87</f>
        <v>0.28258177694699255</v>
      </c>
      <c r="H31" s="267">
        <f>SUM('Advising Activity &amp; ROI Levers'!F11:J11)/SUM('Institution Data'!F12:J12)</f>
        <v>0.27316640025603556</v>
      </c>
      <c r="I31" s="74"/>
      <c r="J31" s="74"/>
    </row>
    <row r="32" spans="1:10" x14ac:dyDescent="0.35">
      <c r="A32" s="190" t="s">
        <v>158</v>
      </c>
      <c r="B32" s="196"/>
      <c r="C32" s="196"/>
      <c r="D32" s="196"/>
      <c r="E32" s="196"/>
      <c r="F32" s="196"/>
      <c r="G32" s="196"/>
      <c r="H32" s="201"/>
      <c r="I32" s="74"/>
      <c r="J32" s="74"/>
    </row>
    <row r="35" spans="1:10" x14ac:dyDescent="0.35">
      <c r="B35" s="181" t="s">
        <v>0</v>
      </c>
      <c r="C35" s="181" t="s">
        <v>1</v>
      </c>
      <c r="D35" s="181" t="s">
        <v>2</v>
      </c>
      <c r="E35" s="181" t="s">
        <v>3</v>
      </c>
      <c r="F35" s="181" t="s">
        <v>4</v>
      </c>
      <c r="G35" s="181" t="s">
        <v>5</v>
      </c>
      <c r="H35" s="182" t="s">
        <v>152</v>
      </c>
    </row>
    <row r="36" spans="1:10" x14ac:dyDescent="0.35">
      <c r="A36" s="183" t="s">
        <v>167</v>
      </c>
      <c r="B36" s="184" t="str">
        <f>Assumptions!D6</f>
        <v>2022-23</v>
      </c>
      <c r="C36" s="184" t="str">
        <f>Assumptions!E6</f>
        <v>2023-24</v>
      </c>
      <c r="D36" s="184" t="str">
        <f>Assumptions!F6</f>
        <v>2024-25</v>
      </c>
      <c r="E36" s="184" t="str">
        <f>Assumptions!G6</f>
        <v>2025-26</v>
      </c>
      <c r="F36" s="184" t="str">
        <f>Assumptions!H6</f>
        <v>2026-27</v>
      </c>
      <c r="G36" s="184" t="str">
        <f>Assumptions!I6</f>
        <v>2027-28</v>
      </c>
      <c r="H36" s="185" t="str">
        <f>H$2</f>
        <v>2023-2028</v>
      </c>
    </row>
    <row r="37" spans="1:10" x14ac:dyDescent="0.35">
      <c r="A37" s="77" t="s">
        <v>168</v>
      </c>
      <c r="B37" s="269">
        <f>'Revenue &amp; Expense'!E54</f>
        <v>-81550</v>
      </c>
      <c r="C37" s="269">
        <f>'Revenue &amp; Expense'!F54</f>
        <v>-72712.057000003522</v>
      </c>
      <c r="D37" s="269">
        <f>'Revenue &amp; Expense'!G54</f>
        <v>-12540.367999997339</v>
      </c>
      <c r="E37" s="269">
        <f>'Revenue &amp; Expense'!H54</f>
        <v>14600.23675000295</v>
      </c>
      <c r="F37" s="269">
        <f>'Revenue &amp; Expense'!I54</f>
        <v>37005.646545995958</v>
      </c>
      <c r="G37" s="269">
        <f>'Revenue &amp; Expense'!J54</f>
        <v>39304.86048192298</v>
      </c>
      <c r="H37" s="270">
        <f>SUM(B37:G37)</f>
        <v>-75891.681222078972</v>
      </c>
      <c r="J37" s="77" t="s">
        <v>216</v>
      </c>
    </row>
    <row r="38" spans="1:10" x14ac:dyDescent="0.35">
      <c r="A38" s="77" t="s">
        <v>169</v>
      </c>
      <c r="B38" s="202">
        <f>'Revenue &amp; Expense'!E56</f>
        <v>0</v>
      </c>
      <c r="C38" s="202">
        <f>'Revenue &amp; Expense'!F56</f>
        <v>-0.19560011350673889</v>
      </c>
      <c r="D38" s="202">
        <f>'Revenue &amp; Expense'!G56</f>
        <v>-1.8120510074553769E-2</v>
      </c>
      <c r="E38" s="202">
        <f>'Revenue &amp; Expense'!H56</f>
        <v>2.059504104513013E-2</v>
      </c>
      <c r="F38" s="202">
        <f>'Revenue &amp; Expense'!I56</f>
        <v>4.9927261175232052E-2</v>
      </c>
      <c r="G38" s="202">
        <f>'Revenue &amp; Expense'!J56</f>
        <v>5.1901948683815757E-2</v>
      </c>
      <c r="H38" s="202">
        <f>'Revenue &amp; Expense'!K56</f>
        <v>0</v>
      </c>
    </row>
    <row r="39" spans="1:10" x14ac:dyDescent="0.35">
      <c r="A39" s="190" t="s">
        <v>158</v>
      </c>
      <c r="B39" s="196"/>
      <c r="C39" s="271">
        <f>'Revenue &amp; Expense'!F9-'Revenue &amp; Expense'!F51</f>
        <v>-72712.057000003522</v>
      </c>
      <c r="D39" s="271">
        <f>'Revenue &amp; Expense'!G9-'Revenue &amp; Expense'!G51</f>
        <v>-12540.367999997339</v>
      </c>
      <c r="E39" s="271">
        <f>'Revenue &amp; Expense'!H9-'Revenue &amp; Expense'!H51</f>
        <v>14600.23675000295</v>
      </c>
      <c r="F39" s="271">
        <f>'Revenue &amp; Expense'!I9-'Revenue &amp; Expense'!I51</f>
        <v>37005.646545995958</v>
      </c>
      <c r="G39" s="271">
        <f>'Revenue &amp; Expense'!J9-'Revenue &amp; Expense'!J51</f>
        <v>39304.86048192298</v>
      </c>
      <c r="H39" s="203">
        <f>(SUM('[1]Revenue &amp; Expense'!D9:I9)*(1-[1]Assumptions!D20))-SUM('[1]Revenue &amp; Expense'!D37:I37)</f>
        <v>-71932.049999999988</v>
      </c>
    </row>
    <row r="42" spans="1:10" x14ac:dyDescent="0.35">
      <c r="B42" s="181" t="s">
        <v>0</v>
      </c>
      <c r="C42" s="181" t="s">
        <v>1</v>
      </c>
      <c r="D42" s="181" t="s">
        <v>2</v>
      </c>
      <c r="E42" s="181" t="s">
        <v>3</v>
      </c>
      <c r="F42" s="181" t="s">
        <v>4</v>
      </c>
      <c r="G42" s="181" t="s">
        <v>5</v>
      </c>
      <c r="H42" s="182" t="s">
        <v>152</v>
      </c>
    </row>
    <row r="43" spans="1:10" x14ac:dyDescent="0.35">
      <c r="A43" s="183" t="s">
        <v>220</v>
      </c>
      <c r="B43" s="184" t="str">
        <f>Assumptions!D6</f>
        <v>2022-23</v>
      </c>
      <c r="C43" s="184" t="str">
        <f>Assumptions!E6</f>
        <v>2023-24</v>
      </c>
      <c r="D43" s="184" t="str">
        <f>Assumptions!F6</f>
        <v>2024-25</v>
      </c>
      <c r="E43" s="184" t="str">
        <f>Assumptions!G6</f>
        <v>2025-26</v>
      </c>
      <c r="F43" s="184" t="str">
        <f>Assumptions!H6</f>
        <v>2026-27</v>
      </c>
      <c r="G43" s="184" t="str">
        <f>Assumptions!I6</f>
        <v>2027-28</v>
      </c>
      <c r="H43" s="185" t="s">
        <v>170</v>
      </c>
    </row>
    <row r="44" spans="1:10" x14ac:dyDescent="0.35">
      <c r="A44" s="77" t="s">
        <v>223</v>
      </c>
      <c r="B44" s="186"/>
      <c r="C44" s="186">
        <f>Dashboard!I73</f>
        <v>299026.25999999361</v>
      </c>
      <c r="D44" s="186">
        <f>Dashboard!J73</f>
        <v>679513.44000000483</v>
      </c>
      <c r="E44" s="186">
        <f>Dashboard!K73</f>
        <v>723520.24900000519</v>
      </c>
      <c r="F44" s="186">
        <f>Dashboard!L73</f>
        <v>778196.84499999299</v>
      </c>
      <c r="G44" s="186">
        <f>Dashboard!M73</f>
        <v>796595.51100000564</v>
      </c>
      <c r="H44" s="274">
        <f>SUM(B44:G44)</f>
        <v>3276852.3050000025</v>
      </c>
    </row>
    <row r="45" spans="1:10" x14ac:dyDescent="0.35">
      <c r="A45" s="77" t="s">
        <v>221</v>
      </c>
      <c r="B45" s="186"/>
      <c r="C45" s="186">
        <f>Dashboard!I74</f>
        <v>0</v>
      </c>
      <c r="D45" s="186">
        <f>Dashboard!J74</f>
        <v>366685.44000000029</v>
      </c>
      <c r="E45" s="186">
        <f>Dashboard!K74</f>
        <v>384494.77400000033</v>
      </c>
      <c r="F45" s="186">
        <f>Dashboard!L74</f>
        <v>428320.03500000038</v>
      </c>
      <c r="G45" s="186">
        <f>Dashboard!M74</f>
        <v>431421.47100000043</v>
      </c>
      <c r="H45" s="274">
        <f>SUM(B45:G45)</f>
        <v>1610921.7200000014</v>
      </c>
    </row>
    <row r="46" spans="1:10" x14ac:dyDescent="0.35">
      <c r="A46" s="77" t="s">
        <v>222</v>
      </c>
      <c r="B46" s="186"/>
      <c r="C46" s="186">
        <f>Dashboard!I76</f>
        <v>299026.25999999361</v>
      </c>
      <c r="D46" s="186">
        <f>Dashboard!J76</f>
        <v>312828.00000000448</v>
      </c>
      <c r="E46" s="186">
        <f>Dashboard!K76</f>
        <v>339025.47500000481</v>
      </c>
      <c r="F46" s="186">
        <f>Dashboard!L76</f>
        <v>349876.80999999255</v>
      </c>
      <c r="G46" s="186">
        <f>Dashboard!M76</f>
        <v>365174.04000000522</v>
      </c>
      <c r="H46" s="274">
        <f>SUM(B46:G46)</f>
        <v>1665930.5850000007</v>
      </c>
    </row>
    <row r="47" spans="1:10" x14ac:dyDescent="0.35">
      <c r="A47" s="190" t="s">
        <v>158</v>
      </c>
      <c r="B47" s="196"/>
      <c r="C47" s="271">
        <f>SUM(C45:C46)</f>
        <v>299026.25999999361</v>
      </c>
      <c r="D47" s="271">
        <f t="shared" ref="D47:H47" si="3">SUM(D45:D46)</f>
        <v>679513.44000000483</v>
      </c>
      <c r="E47" s="271">
        <f t="shared" si="3"/>
        <v>723520.24900000519</v>
      </c>
      <c r="F47" s="271">
        <f t="shared" si="3"/>
        <v>778196.84499999299</v>
      </c>
      <c r="G47" s="271">
        <f t="shared" si="3"/>
        <v>796595.51100000564</v>
      </c>
      <c r="H47" s="271">
        <f t="shared" si="3"/>
        <v>3276852.305000002</v>
      </c>
    </row>
    <row r="49" spans="1:8" x14ac:dyDescent="0.35">
      <c r="B49" s="181" t="s">
        <v>0</v>
      </c>
      <c r="C49" s="181" t="s">
        <v>1</v>
      </c>
      <c r="D49" s="181" t="s">
        <v>2</v>
      </c>
      <c r="E49" s="181" t="s">
        <v>3</v>
      </c>
      <c r="F49" s="181" t="s">
        <v>4</v>
      </c>
      <c r="G49" s="181" t="s">
        <v>5</v>
      </c>
      <c r="H49" s="182" t="s">
        <v>152</v>
      </c>
    </row>
    <row r="50" spans="1:8" x14ac:dyDescent="0.35">
      <c r="A50" s="183" t="s">
        <v>219</v>
      </c>
      <c r="B50" s="184" t="str">
        <f>Assumptions!D6</f>
        <v>2022-23</v>
      </c>
      <c r="C50" s="184" t="str">
        <f>Assumptions!E6</f>
        <v>2023-24</v>
      </c>
      <c r="D50" s="184" t="str">
        <f>Assumptions!F6</f>
        <v>2024-25</v>
      </c>
      <c r="E50" s="184" t="str">
        <f>Assumptions!G6</f>
        <v>2025-26</v>
      </c>
      <c r="F50" s="184" t="str">
        <f>Assumptions!H6</f>
        <v>2026-27</v>
      </c>
      <c r="G50" s="184" t="str">
        <f>Assumptions!I6</f>
        <v>2027-28</v>
      </c>
      <c r="H50" s="185" t="str">
        <f>H$2</f>
        <v>2023-2028</v>
      </c>
    </row>
    <row r="51" spans="1:8" x14ac:dyDescent="0.35">
      <c r="A51" s="77" t="s">
        <v>224</v>
      </c>
      <c r="B51" s="269">
        <f>'Revenue &amp; Expense'!E20</f>
        <v>81550</v>
      </c>
      <c r="C51" s="269">
        <f>'Revenue &amp; Expense'!F20</f>
        <v>533202.75999999361</v>
      </c>
      <c r="D51" s="269">
        <f>'Revenue &amp; Expense'!G20</f>
        <v>1035226.2000000048</v>
      </c>
      <c r="E51" s="269">
        <f>'Revenue &amp; Expense'!H20</f>
        <v>1077724.9492000053</v>
      </c>
      <c r="F51" s="269">
        <f>'Revenue &amp; Expense'!I20</f>
        <v>1139485.6392039931</v>
      </c>
      <c r="G51" s="269">
        <f>'Revenue &amp; Expense'!J20</f>
        <v>1165110.0810880857</v>
      </c>
      <c r="H51" s="270">
        <f>SUM(B51:G51)</f>
        <v>5032299.6294920826</v>
      </c>
    </row>
    <row r="52" spans="1:8" x14ac:dyDescent="0.35">
      <c r="A52" s="284" t="s">
        <v>223</v>
      </c>
      <c r="B52" s="269"/>
      <c r="C52" s="269">
        <f>'Revenue &amp; Expense'!F9</f>
        <v>299026.25999999361</v>
      </c>
      <c r="D52" s="269">
        <f>'Revenue &amp; Expense'!G9</f>
        <v>679513.44000000483</v>
      </c>
      <c r="E52" s="269">
        <f>'Revenue &amp; Expense'!H9</f>
        <v>723520.24900000519</v>
      </c>
      <c r="F52" s="269">
        <f>'Revenue &amp; Expense'!I9</f>
        <v>778196.84499999299</v>
      </c>
      <c r="G52" s="269">
        <f>'Revenue &amp; Expense'!J9</f>
        <v>796595.51100000564</v>
      </c>
      <c r="H52" s="272">
        <f>SUM(B52:G52)</f>
        <v>3276852.3050000025</v>
      </c>
    </row>
    <row r="53" spans="1:8" x14ac:dyDescent="0.35">
      <c r="A53" s="284" t="s">
        <v>92</v>
      </c>
      <c r="B53" s="285">
        <f>'Revenue &amp; Expense'!E18</f>
        <v>81550</v>
      </c>
      <c r="C53" s="285">
        <f>'Revenue &amp; Expense'!F18</f>
        <v>234176.5</v>
      </c>
      <c r="D53" s="285">
        <f>'Revenue &amp; Expense'!G18</f>
        <v>355712.76</v>
      </c>
      <c r="E53" s="285">
        <f>'Revenue &amp; Expense'!H18</f>
        <v>354204.70019999996</v>
      </c>
      <c r="F53" s="285">
        <f>'Revenue &amp; Expense'!I18</f>
        <v>361288.79420400009</v>
      </c>
      <c r="G53" s="285">
        <f>'Revenue &amp; Expense'!J18</f>
        <v>368514.57008808007</v>
      </c>
      <c r="H53" s="286">
        <f>SUM(B53:G53)</f>
        <v>1755447.3244920801</v>
      </c>
    </row>
    <row r="54" spans="1:8" x14ac:dyDescent="0.35">
      <c r="A54" s="77" t="s">
        <v>225</v>
      </c>
      <c r="B54" s="269">
        <f>'Revenue &amp; Expense'!E51</f>
        <v>81550</v>
      </c>
      <c r="C54" s="269">
        <f>'Revenue &amp; Expense'!F51</f>
        <v>371738.31699999713</v>
      </c>
      <c r="D54" s="269">
        <f>'Revenue &amp; Expense'!G51</f>
        <v>692053.80800000217</v>
      </c>
      <c r="E54" s="269">
        <f>'Revenue &amp; Expense'!H51</f>
        <v>708920.01225000224</v>
      </c>
      <c r="F54" s="269">
        <f>'Revenue &amp; Expense'!I51</f>
        <v>741191.19845399703</v>
      </c>
      <c r="G54" s="269">
        <f>'Revenue &amp; Expense'!J51</f>
        <v>757290.65051808266</v>
      </c>
      <c r="H54" s="272">
        <f>SUM(B54:G54)</f>
        <v>3352743.9862220814</v>
      </c>
    </row>
    <row r="55" spans="1:8" x14ac:dyDescent="0.35">
      <c r="A55" s="77" t="s">
        <v>98</v>
      </c>
      <c r="B55" s="269">
        <f>'Revenue &amp; Expense'!E53</f>
        <v>0</v>
      </c>
      <c r="C55" s="269">
        <f>'Revenue &amp; Expense'!F53</f>
        <v>161464.44299999648</v>
      </c>
      <c r="D55" s="269">
        <f>'Revenue &amp; Expense'!G53</f>
        <v>343172.39200000267</v>
      </c>
      <c r="E55" s="269">
        <f>'Revenue &amp; Expense'!H53</f>
        <v>368804.93695000303</v>
      </c>
      <c r="F55" s="269">
        <f>'Revenue &amp; Expense'!I53</f>
        <v>398294.44074999611</v>
      </c>
      <c r="G55" s="269">
        <f>'Revenue &amp; Expense'!J53</f>
        <v>407819.43057000299</v>
      </c>
      <c r="H55" s="272">
        <f>SUM(B55:G55)</f>
        <v>1679555.6432700013</v>
      </c>
    </row>
    <row r="56" spans="1:8" x14ac:dyDescent="0.35">
      <c r="A56" s="190" t="s">
        <v>158</v>
      </c>
      <c r="B56" s="271">
        <f t="shared" ref="B56:H56" si="4">B51-B54</f>
        <v>0</v>
      </c>
      <c r="C56" s="271">
        <f t="shared" si="4"/>
        <v>161464.44299999648</v>
      </c>
      <c r="D56" s="271">
        <f t="shared" si="4"/>
        <v>343172.39200000267</v>
      </c>
      <c r="E56" s="271">
        <f t="shared" si="4"/>
        <v>368804.93695000303</v>
      </c>
      <c r="F56" s="271">
        <f t="shared" si="4"/>
        <v>398294.44074999611</v>
      </c>
      <c r="G56" s="271">
        <f t="shared" si="4"/>
        <v>407819.43057000299</v>
      </c>
      <c r="H56" s="271">
        <f t="shared" si="4"/>
        <v>1679555.6432700013</v>
      </c>
    </row>
    <row r="57" spans="1:8" x14ac:dyDescent="0.35">
      <c r="A57" s="190"/>
      <c r="B57" s="271">
        <f>SUM(B52:B53)</f>
        <v>81550</v>
      </c>
      <c r="C57" s="271">
        <f t="shared" ref="C57:G57" si="5">SUM(C52:C53)</f>
        <v>533202.75999999361</v>
      </c>
      <c r="D57" s="271">
        <f t="shared" si="5"/>
        <v>1035226.2000000048</v>
      </c>
      <c r="E57" s="271">
        <f t="shared" si="5"/>
        <v>1077724.9492000053</v>
      </c>
      <c r="F57" s="271">
        <f t="shared" si="5"/>
        <v>1139485.6392039931</v>
      </c>
      <c r="G57" s="271">
        <f t="shared" si="5"/>
        <v>1165110.0810880857</v>
      </c>
      <c r="H57" s="271">
        <f>SUM(H52:H53)</f>
        <v>5032299.6294920826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59999389629810485"/>
  </sheetPr>
  <dimension ref="A1:M31"/>
  <sheetViews>
    <sheetView zoomScale="90" zoomScaleNormal="90" workbookViewId="0"/>
  </sheetViews>
  <sheetFormatPr defaultColWidth="9.1796875" defaultRowHeight="14.5" x14ac:dyDescent="0.35"/>
  <cols>
    <col min="1" max="1" width="3.453125" style="2" customWidth="1"/>
    <col min="2" max="2" width="17" style="2" customWidth="1"/>
    <col min="3" max="3" width="51.1796875" style="2" customWidth="1"/>
    <col min="4" max="4" width="4.26953125" style="2" customWidth="1"/>
    <col min="5" max="10" width="15" style="2" customWidth="1"/>
    <col min="11" max="11" width="3.453125" style="2" customWidth="1"/>
    <col min="12" max="12" width="84" style="2" customWidth="1"/>
    <col min="13" max="13" width="3.453125" style="2" customWidth="1"/>
    <col min="14" max="16384" width="9.1796875" style="2"/>
  </cols>
  <sheetData>
    <row r="1" spans="1:13" ht="18.5" x14ac:dyDescent="0.45">
      <c r="A1" s="31" t="str">
        <f>About!A1</f>
        <v>rpk GROUP | Advising Redesign Financial Model</v>
      </c>
      <c r="B1" s="32"/>
      <c r="C1" s="32"/>
      <c r="D1" s="32"/>
      <c r="E1" s="32"/>
      <c r="F1" s="32"/>
      <c r="G1" s="32"/>
      <c r="H1" s="32"/>
      <c r="I1" s="32"/>
      <c r="J1" s="32"/>
      <c r="K1" s="32"/>
      <c r="L1" s="32"/>
      <c r="M1" s="32"/>
    </row>
    <row r="2" spans="1:13" ht="18.5" x14ac:dyDescent="0.45">
      <c r="A2" s="337" t="str">
        <f>About!A2</f>
        <v>In Collaboration with American Association of State Colleges and Universities (AASCU) &amp; Advising Success Network (ASN)</v>
      </c>
      <c r="B2" s="32"/>
      <c r="C2" s="32"/>
      <c r="D2" s="32"/>
      <c r="E2" s="32"/>
      <c r="F2" s="32"/>
      <c r="G2" s="32"/>
      <c r="H2" s="32"/>
      <c r="I2" s="32"/>
      <c r="J2" s="32"/>
      <c r="K2" s="32"/>
      <c r="L2" s="32"/>
      <c r="M2" s="32"/>
    </row>
    <row r="3" spans="1:13" ht="18.5" x14ac:dyDescent="0.45">
      <c r="A3" s="33" t="s">
        <v>144</v>
      </c>
      <c r="B3" s="34"/>
      <c r="C3" s="34"/>
      <c r="D3" s="34"/>
      <c r="E3" s="34"/>
      <c r="F3" s="34"/>
      <c r="G3" s="34"/>
      <c r="H3" s="34"/>
      <c r="I3" s="34"/>
      <c r="J3" s="34"/>
      <c r="K3" s="34"/>
      <c r="L3" s="34"/>
      <c r="M3" s="34"/>
    </row>
    <row r="4" spans="1:13" ht="15.5" x14ac:dyDescent="0.35">
      <c r="A4" s="86" t="s">
        <v>57</v>
      </c>
      <c r="B4" s="3"/>
      <c r="C4" s="3"/>
      <c r="D4" s="3"/>
      <c r="E4" s="3"/>
      <c r="F4" s="3"/>
      <c r="G4" s="3"/>
      <c r="H4" s="3"/>
      <c r="I4" s="3"/>
      <c r="J4" s="3"/>
      <c r="K4" s="3"/>
      <c r="L4" s="3"/>
      <c r="M4" s="3"/>
    </row>
    <row r="5" spans="1:13" ht="18.5" x14ac:dyDescent="0.45">
      <c r="A5" s="3"/>
      <c r="B5" s="140"/>
      <c r="C5" s="140"/>
      <c r="D5" s="140"/>
      <c r="E5" s="140"/>
      <c r="F5" s="140"/>
      <c r="G5" s="140"/>
      <c r="H5" s="140"/>
      <c r="I5" s="140"/>
      <c r="J5" s="140"/>
      <c r="K5" s="140"/>
      <c r="L5" s="140"/>
      <c r="M5" s="140"/>
    </row>
    <row r="6" spans="1:13" x14ac:dyDescent="0.35">
      <c r="A6" s="3"/>
      <c r="B6" s="96" t="s">
        <v>113</v>
      </c>
      <c r="C6" s="167" t="s">
        <v>298</v>
      </c>
      <c r="D6" s="141"/>
      <c r="E6" s="141"/>
      <c r="F6" s="141"/>
      <c r="G6" s="141"/>
      <c r="H6" s="141"/>
      <c r="I6" s="141"/>
      <c r="J6" s="141"/>
      <c r="K6" s="3"/>
      <c r="L6" s="3"/>
      <c r="M6" s="3"/>
    </row>
    <row r="7" spans="1:13" x14ac:dyDescent="0.35">
      <c r="A7" s="3"/>
      <c r="B7" s="3"/>
      <c r="C7" s="3"/>
      <c r="D7" s="3"/>
      <c r="E7" s="3"/>
      <c r="F7" s="3"/>
      <c r="G7" s="3"/>
      <c r="H7" s="3"/>
      <c r="I7" s="3"/>
      <c r="J7" s="3"/>
      <c r="K7" s="3"/>
      <c r="L7" s="3"/>
      <c r="M7" s="3"/>
    </row>
    <row r="8" spans="1:13" ht="30" customHeight="1" x14ac:dyDescent="0.35">
      <c r="A8" s="3"/>
      <c r="B8" s="96" t="s">
        <v>114</v>
      </c>
      <c r="C8" s="296" t="s">
        <v>248</v>
      </c>
      <c r="D8" s="141"/>
      <c r="E8" s="141"/>
      <c r="F8" s="141"/>
      <c r="G8" s="141"/>
      <c r="H8" s="141"/>
      <c r="I8" s="141"/>
      <c r="J8" s="141"/>
      <c r="K8" s="3"/>
      <c r="L8" s="3"/>
      <c r="M8" s="3"/>
    </row>
    <row r="9" spans="1:13" ht="29" x14ac:dyDescent="0.35">
      <c r="A9" s="3"/>
      <c r="B9" s="3"/>
      <c r="C9" s="3"/>
      <c r="D9" s="3"/>
      <c r="E9" s="89" t="s">
        <v>24</v>
      </c>
      <c r="F9" s="88" t="s">
        <v>1</v>
      </c>
      <c r="G9" s="88" t="s">
        <v>2</v>
      </c>
      <c r="H9" s="88" t="s">
        <v>3</v>
      </c>
      <c r="I9" s="88" t="s">
        <v>4</v>
      </c>
      <c r="J9" s="88" t="s">
        <v>5</v>
      </c>
      <c r="K9" s="88"/>
      <c r="L9" s="3"/>
      <c r="M9" s="3"/>
    </row>
    <row r="10" spans="1:13" ht="15.5" x14ac:dyDescent="0.35">
      <c r="A10" s="3"/>
      <c r="B10" s="3"/>
      <c r="C10" s="3"/>
      <c r="D10" s="3"/>
      <c r="E10" s="91" t="str">
        <f>Assumptions!D6</f>
        <v>2022-23</v>
      </c>
      <c r="F10" s="91" t="str">
        <f>Assumptions!E6</f>
        <v>2023-24</v>
      </c>
      <c r="G10" s="91" t="str">
        <f>Assumptions!F6</f>
        <v>2024-25</v>
      </c>
      <c r="H10" s="91" t="str">
        <f>Assumptions!G6</f>
        <v>2025-26</v>
      </c>
      <c r="I10" s="91" t="str">
        <f>Assumptions!H6</f>
        <v>2026-27</v>
      </c>
      <c r="J10" s="91" t="str">
        <f>Assumptions!I6</f>
        <v>2027-28</v>
      </c>
      <c r="K10" s="91"/>
      <c r="L10" s="178" t="s">
        <v>6</v>
      </c>
      <c r="M10" s="3"/>
    </row>
    <row r="11" spans="1:13" ht="15.5" x14ac:dyDescent="0.35">
      <c r="A11" s="3"/>
      <c r="B11" s="87" t="s">
        <v>117</v>
      </c>
      <c r="C11" s="132"/>
      <c r="D11" s="132"/>
      <c r="E11" s="3"/>
      <c r="F11" s="3"/>
      <c r="G11" s="3"/>
      <c r="H11" s="3"/>
      <c r="I11" s="3"/>
      <c r="J11" s="3"/>
      <c r="K11" s="3"/>
      <c r="L11" s="298"/>
      <c r="M11" s="3"/>
    </row>
    <row r="12" spans="1:13" x14ac:dyDescent="0.35">
      <c r="A12" s="3"/>
      <c r="B12" s="149" t="s">
        <v>118</v>
      </c>
      <c r="C12" s="142"/>
      <c r="D12" s="142"/>
      <c r="E12" s="150">
        <v>14815</v>
      </c>
      <c r="F12" s="150">
        <f>E12*1.01</f>
        <v>14963.15</v>
      </c>
      <c r="G12" s="150">
        <f t="shared" ref="G12:J12" si="0">F12*1.01</f>
        <v>15112.781499999999</v>
      </c>
      <c r="H12" s="150">
        <f t="shared" si="0"/>
        <v>15263.909314999999</v>
      </c>
      <c r="I12" s="150">
        <f t="shared" si="0"/>
        <v>15416.54840815</v>
      </c>
      <c r="J12" s="150">
        <f t="shared" si="0"/>
        <v>15570.713892231501</v>
      </c>
      <c r="K12" s="144"/>
      <c r="L12" s="135" t="s">
        <v>119</v>
      </c>
      <c r="M12" s="3"/>
    </row>
    <row r="13" spans="1:13" x14ac:dyDescent="0.35">
      <c r="A13" s="3"/>
      <c r="B13" s="145" t="s">
        <v>120</v>
      </c>
      <c r="C13" s="142"/>
      <c r="D13" s="142"/>
      <c r="E13" s="151">
        <v>0.9</v>
      </c>
      <c r="F13" s="152">
        <f>E13</f>
        <v>0.9</v>
      </c>
      <c r="G13" s="152">
        <f t="shared" ref="G13:J13" si="1">F13</f>
        <v>0.9</v>
      </c>
      <c r="H13" s="152">
        <f t="shared" si="1"/>
        <v>0.9</v>
      </c>
      <c r="I13" s="152">
        <f t="shared" si="1"/>
        <v>0.9</v>
      </c>
      <c r="J13" s="152">
        <f t="shared" si="1"/>
        <v>0.9</v>
      </c>
      <c r="K13" s="144"/>
      <c r="L13" s="298"/>
      <c r="M13" s="3"/>
    </row>
    <row r="14" spans="1:13" x14ac:dyDescent="0.35">
      <c r="A14" s="3"/>
      <c r="B14" s="3"/>
      <c r="C14" s="3"/>
      <c r="D14" s="3"/>
      <c r="E14" s="91"/>
      <c r="F14" s="91"/>
      <c r="G14" s="91"/>
      <c r="H14" s="91"/>
      <c r="I14" s="91"/>
      <c r="J14" s="91"/>
      <c r="K14" s="91"/>
      <c r="L14" s="298"/>
      <c r="M14" s="3"/>
    </row>
    <row r="15" spans="1:13" ht="15.5" x14ac:dyDescent="0.35">
      <c r="A15" s="3"/>
      <c r="B15" s="87" t="s">
        <v>13</v>
      </c>
      <c r="C15" s="132"/>
      <c r="D15" s="132"/>
      <c r="E15" s="3"/>
      <c r="F15" s="3"/>
      <c r="G15" s="3"/>
      <c r="H15" s="3"/>
      <c r="I15" s="3"/>
      <c r="J15" s="3"/>
      <c r="K15" s="3"/>
      <c r="L15" s="141"/>
      <c r="M15" s="3"/>
    </row>
    <row r="16" spans="1:13" x14ac:dyDescent="0.35">
      <c r="A16" s="3"/>
      <c r="B16" s="149" t="s">
        <v>49</v>
      </c>
      <c r="C16" s="142"/>
      <c r="D16" s="142"/>
      <c r="E16" s="150">
        <v>385230</v>
      </c>
      <c r="F16" s="144"/>
      <c r="G16" s="144"/>
      <c r="H16" s="144"/>
      <c r="I16" s="144"/>
      <c r="J16" s="144"/>
      <c r="K16" s="144"/>
      <c r="L16" s="135" t="s">
        <v>26</v>
      </c>
      <c r="M16" s="3"/>
    </row>
    <row r="17" spans="1:13" x14ac:dyDescent="0.35">
      <c r="A17" s="3"/>
      <c r="B17" s="149" t="s">
        <v>50</v>
      </c>
      <c r="C17" s="142"/>
      <c r="D17" s="142"/>
      <c r="E17" s="150">
        <v>352560</v>
      </c>
      <c r="F17" s="144"/>
      <c r="G17" s="144"/>
      <c r="H17" s="144"/>
      <c r="I17" s="144"/>
      <c r="J17" s="144"/>
      <c r="K17" s="144"/>
      <c r="L17" s="135" t="s">
        <v>26</v>
      </c>
      <c r="M17" s="3"/>
    </row>
    <row r="18" spans="1:13" x14ac:dyDescent="0.35">
      <c r="A18" s="3"/>
      <c r="B18" s="149" t="s">
        <v>151</v>
      </c>
      <c r="C18" s="142"/>
      <c r="D18" s="142"/>
      <c r="E18" s="299">
        <f>IF(E12&lt;&gt;"",ROUND((E17/E12),1),0)</f>
        <v>23.8</v>
      </c>
      <c r="F18" s="144"/>
      <c r="G18" s="144"/>
      <c r="H18" s="144"/>
      <c r="I18" s="144"/>
      <c r="J18" s="144"/>
      <c r="K18" s="144"/>
      <c r="L18" s="135" t="s">
        <v>131</v>
      </c>
      <c r="M18" s="3"/>
    </row>
    <row r="19" spans="1:13" x14ac:dyDescent="0.35">
      <c r="A19" s="3"/>
      <c r="B19" s="3"/>
      <c r="C19" s="3"/>
      <c r="D19" s="3"/>
      <c r="E19" s="3"/>
      <c r="F19" s="3"/>
      <c r="G19" s="3"/>
      <c r="H19" s="3"/>
      <c r="I19" s="3"/>
      <c r="J19" s="3"/>
      <c r="K19" s="3"/>
      <c r="L19" s="135"/>
      <c r="M19" s="3"/>
    </row>
    <row r="20" spans="1:13" ht="15.5" x14ac:dyDescent="0.35">
      <c r="A20" s="3"/>
      <c r="B20" s="87" t="s">
        <v>296</v>
      </c>
      <c r="C20" s="132"/>
      <c r="D20" s="132"/>
      <c r="E20" s="3"/>
      <c r="F20" s="3"/>
      <c r="G20" s="3"/>
      <c r="H20" s="3"/>
      <c r="I20" s="3"/>
      <c r="J20" s="3"/>
      <c r="K20" s="3"/>
      <c r="L20" s="141"/>
      <c r="M20" s="3"/>
    </row>
    <row r="21" spans="1:13" x14ac:dyDescent="0.35">
      <c r="A21" s="3"/>
      <c r="B21" s="149" t="s">
        <v>124</v>
      </c>
      <c r="C21" s="142"/>
      <c r="D21" s="142"/>
      <c r="E21" s="25">
        <v>0.66200000000000003</v>
      </c>
      <c r="F21" s="165"/>
      <c r="G21" s="165"/>
      <c r="H21" s="165"/>
      <c r="I21" s="165"/>
      <c r="J21" s="165"/>
      <c r="K21" s="165"/>
      <c r="L21" s="135" t="s">
        <v>128</v>
      </c>
      <c r="M21" s="3"/>
    </row>
    <row r="22" spans="1:13" x14ac:dyDescent="0.35">
      <c r="A22" s="3"/>
      <c r="B22" s="3"/>
      <c r="C22" s="3"/>
      <c r="D22" s="3"/>
      <c r="E22" s="3"/>
      <c r="F22" s="3"/>
      <c r="G22" s="3"/>
      <c r="H22" s="3"/>
      <c r="I22" s="3"/>
      <c r="J22" s="3"/>
      <c r="K22" s="3"/>
      <c r="L22" s="135" t="s">
        <v>125</v>
      </c>
      <c r="M22" s="3"/>
    </row>
    <row r="23" spans="1:13" ht="15.5" x14ac:dyDescent="0.35">
      <c r="A23" s="3"/>
      <c r="B23" s="87" t="s">
        <v>116</v>
      </c>
      <c r="C23" s="132"/>
      <c r="D23" s="132"/>
      <c r="E23" s="3"/>
      <c r="F23" s="3"/>
      <c r="G23" s="3"/>
      <c r="H23" s="3"/>
      <c r="I23" s="3"/>
      <c r="J23" s="3"/>
      <c r="K23" s="3"/>
      <c r="L23" s="141"/>
      <c r="M23" s="3"/>
    </row>
    <row r="24" spans="1:13" x14ac:dyDescent="0.35">
      <c r="A24" s="3"/>
      <c r="B24" s="149" t="s">
        <v>41</v>
      </c>
      <c r="C24" s="142"/>
      <c r="D24" s="142"/>
      <c r="E24" s="154">
        <v>652</v>
      </c>
      <c r="F24" s="138">
        <f>ROUND($E24*(POWER(1+Assumptions!E$8,1)),2)</f>
        <v>665.04</v>
      </c>
      <c r="G24" s="138">
        <f>ROUND($E24*(POWER(1+Assumptions!F$8,2)),2)</f>
        <v>678.34</v>
      </c>
      <c r="H24" s="138">
        <f>ROUND($E24*(POWER(1+Assumptions!G$8,3)),2)</f>
        <v>691.91</v>
      </c>
      <c r="I24" s="138">
        <f>ROUND($E24*(POWER(1+Assumptions!H$8,4)),2)</f>
        <v>705.75</v>
      </c>
      <c r="J24" s="138">
        <f>ROUND($E24*(POWER(1+Assumptions!I$8,5)),2)</f>
        <v>719.86</v>
      </c>
      <c r="K24" s="146"/>
      <c r="L24" s="135" t="s">
        <v>20</v>
      </c>
      <c r="M24" s="3"/>
    </row>
    <row r="25" spans="1:13" x14ac:dyDescent="0.35">
      <c r="A25" s="3"/>
      <c r="B25" s="149" t="s">
        <v>115</v>
      </c>
      <c r="C25" s="142"/>
      <c r="D25" s="142"/>
      <c r="E25" s="154">
        <v>1194</v>
      </c>
      <c r="F25" s="138">
        <f>ROUND($E25*(POWER(1+Assumptions!E$8,1)),2)</f>
        <v>1217.8800000000001</v>
      </c>
      <c r="G25" s="138">
        <f>ROUND($E25*(POWER(1+Assumptions!F$8,2)),2)</f>
        <v>1242.24</v>
      </c>
      <c r="H25" s="138">
        <f>ROUND($E25*(POWER(1+Assumptions!G$8,3)),2)</f>
        <v>1267.08</v>
      </c>
      <c r="I25" s="138">
        <f>ROUND($E25*(POWER(1+Assumptions!H$8,4)),2)</f>
        <v>1292.42</v>
      </c>
      <c r="J25" s="138">
        <f>ROUND($E25*(POWER(1+Assumptions!I$8,5)),2)</f>
        <v>1318.27</v>
      </c>
      <c r="K25" s="146"/>
      <c r="L25" s="135" t="s">
        <v>20</v>
      </c>
      <c r="M25" s="3"/>
    </row>
    <row r="26" spans="1:13" x14ac:dyDescent="0.35">
      <c r="A26" s="3"/>
      <c r="B26" s="149" t="s">
        <v>40</v>
      </c>
      <c r="C26" s="142"/>
      <c r="D26" s="142"/>
      <c r="E26" s="154">
        <v>45.5</v>
      </c>
      <c r="F26" s="138">
        <f>ROUND($E26*(POWER(1+Assumptions!E$8,1)),2)</f>
        <v>46.41</v>
      </c>
      <c r="G26" s="138">
        <f>ROUND($E26*(POWER(1+Assumptions!F$8,2)),2)</f>
        <v>47.34</v>
      </c>
      <c r="H26" s="138">
        <f>ROUND($E26*(POWER(1+Assumptions!G$8,3)),2)</f>
        <v>48.28</v>
      </c>
      <c r="I26" s="138">
        <f>ROUND($E26*(POWER(1+Assumptions!H$8,4)),2)</f>
        <v>49.25</v>
      </c>
      <c r="J26" s="138">
        <f>ROUND($E26*(POWER(1+Assumptions!I$8,5)),2)</f>
        <v>50.24</v>
      </c>
      <c r="K26" s="146"/>
      <c r="L26" s="135" t="s">
        <v>121</v>
      </c>
      <c r="M26" s="3"/>
    </row>
    <row r="27" spans="1:13" x14ac:dyDescent="0.35">
      <c r="A27" s="3"/>
      <c r="B27" s="147"/>
      <c r="C27" s="3"/>
      <c r="D27" s="3"/>
      <c r="E27" s="148"/>
      <c r="F27" s="148"/>
      <c r="G27" s="148"/>
      <c r="H27" s="148"/>
      <c r="I27" s="148"/>
      <c r="J27" s="148"/>
      <c r="K27" s="148"/>
      <c r="L27" s="135" t="s">
        <v>297</v>
      </c>
      <c r="M27" s="3"/>
    </row>
    <row r="28" spans="1:13" ht="15.5" x14ac:dyDescent="0.35">
      <c r="A28" s="3"/>
      <c r="B28" s="87" t="s">
        <v>123</v>
      </c>
      <c r="C28" s="132"/>
      <c r="D28" s="132"/>
      <c r="E28" s="3"/>
      <c r="F28" s="3"/>
      <c r="G28" s="3"/>
      <c r="H28" s="3"/>
      <c r="I28" s="3"/>
      <c r="J28" s="3"/>
      <c r="K28" s="3"/>
      <c r="L28" s="141"/>
      <c r="M28" s="3"/>
    </row>
    <row r="29" spans="1:13" x14ac:dyDescent="0.35">
      <c r="A29" s="3"/>
      <c r="B29" s="149" t="s">
        <v>126</v>
      </c>
      <c r="C29" s="142"/>
      <c r="D29" s="142"/>
      <c r="E29" s="24">
        <v>80000000</v>
      </c>
      <c r="F29" s="153"/>
      <c r="G29" s="153"/>
      <c r="H29" s="153"/>
      <c r="I29" s="153"/>
      <c r="J29" s="153"/>
      <c r="K29" s="153"/>
      <c r="L29" s="135" t="s">
        <v>127</v>
      </c>
      <c r="M29" s="3"/>
    </row>
    <row r="30" spans="1:13" x14ac:dyDescent="0.35">
      <c r="A30" s="3"/>
      <c r="B30" s="149" t="s">
        <v>51</v>
      </c>
      <c r="C30" s="142"/>
      <c r="D30" s="142"/>
      <c r="E30" s="166">
        <f>IF(E16 &lt;&gt;"",ROUND((E29/E16),2),0)</f>
        <v>207.67</v>
      </c>
      <c r="F30" s="153"/>
      <c r="G30" s="153"/>
      <c r="H30" s="153"/>
      <c r="I30" s="153"/>
      <c r="J30" s="153"/>
      <c r="K30" s="153"/>
      <c r="L30" s="135"/>
      <c r="M30" s="3"/>
    </row>
    <row r="31" spans="1:13" x14ac:dyDescent="0.35">
      <c r="A31" s="3"/>
      <c r="B31" s="133"/>
      <c r="C31" s="3"/>
      <c r="D31" s="3"/>
      <c r="E31" s="3"/>
      <c r="F31" s="3"/>
      <c r="G31" s="3"/>
      <c r="H31" s="3"/>
      <c r="I31" s="3"/>
      <c r="J31" s="3"/>
      <c r="K31" s="3"/>
      <c r="L31" s="3"/>
      <c r="M31" s="3"/>
    </row>
  </sheetData>
  <sheetProtection algorithmName="SHA-512" hashValue="fSIWi8GipHXQOPNsMQ/SqRs/cD+H5LYrllODiRQU2b9Vc0P33ZtbLwffUAald6sK2nf7DwS437QhUmawVVeaSg==" saltValue="1l+dh49l8SG5mghAPCvS8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1BAD8-7676-4B13-82D1-8F84E392916C}">
  <sheetPr>
    <tabColor theme="7" tint="0.59999389629810485"/>
  </sheetPr>
  <dimension ref="A1:Z49"/>
  <sheetViews>
    <sheetView zoomScale="90" zoomScaleNormal="90" workbookViewId="0"/>
  </sheetViews>
  <sheetFormatPr defaultColWidth="9.1796875" defaultRowHeight="14.5" x14ac:dyDescent="0.35"/>
  <cols>
    <col min="1" max="1" width="3.453125" style="2" customWidth="1"/>
    <col min="2" max="2" width="56.54296875" style="2" customWidth="1"/>
    <col min="3" max="4" width="3.453125" style="2" customWidth="1"/>
    <col min="5" max="10" width="15" style="2" customWidth="1"/>
    <col min="11" max="11" width="3.453125" style="2" customWidth="1"/>
    <col min="12" max="12" width="74.54296875" style="2" customWidth="1"/>
    <col min="13" max="13" width="4.453125" style="2" customWidth="1"/>
    <col min="14" max="14" width="9.1796875" style="2"/>
    <col min="15" max="16" width="9.1796875" style="2" customWidth="1"/>
    <col min="17" max="18" width="9.1796875" style="2"/>
    <col min="19" max="19" width="6" style="2" customWidth="1"/>
    <col min="20" max="16384" width="9.1796875" style="2"/>
  </cols>
  <sheetData>
    <row r="1" spans="1:13" ht="18.5" x14ac:dyDescent="0.45">
      <c r="A1" s="31" t="str">
        <f>About!A1</f>
        <v>rpk GROUP | Advising Redesign Financial Model</v>
      </c>
      <c r="B1" s="32"/>
      <c r="C1" s="32"/>
      <c r="D1" s="32"/>
      <c r="E1" s="32"/>
      <c r="F1" s="32"/>
      <c r="G1" s="32"/>
      <c r="H1" s="32"/>
      <c r="I1" s="32"/>
      <c r="J1" s="32"/>
      <c r="K1" s="32"/>
      <c r="L1" s="32"/>
      <c r="M1" s="32"/>
    </row>
    <row r="2" spans="1:13" ht="18.5" x14ac:dyDescent="0.45">
      <c r="A2" s="337" t="str">
        <f>About!A2</f>
        <v>In Collaboration with American Association of State Colleges and Universities (AASCU) &amp; Advising Success Network (ASN)</v>
      </c>
      <c r="B2" s="32"/>
      <c r="C2" s="32"/>
      <c r="D2" s="32"/>
      <c r="E2" s="32"/>
      <c r="F2" s="32"/>
      <c r="G2" s="32"/>
      <c r="H2" s="32"/>
      <c r="I2" s="32"/>
      <c r="J2" s="32"/>
      <c r="K2" s="32"/>
      <c r="L2" s="32"/>
      <c r="M2" s="32"/>
    </row>
    <row r="3" spans="1:13" ht="18.5" x14ac:dyDescent="0.45">
      <c r="A3" s="33" t="s">
        <v>122</v>
      </c>
      <c r="B3" s="34"/>
      <c r="C3" s="34"/>
      <c r="D3" s="34"/>
      <c r="E3" s="34"/>
      <c r="F3" s="34"/>
      <c r="G3" s="34"/>
      <c r="H3" s="34"/>
      <c r="I3" s="34"/>
      <c r="J3" s="34"/>
      <c r="K3" s="34"/>
      <c r="L3" s="34"/>
      <c r="M3" s="34"/>
    </row>
    <row r="4" spans="1:13" ht="15.5" x14ac:dyDescent="0.35">
      <c r="A4" s="86" t="s">
        <v>57</v>
      </c>
      <c r="B4" s="3"/>
      <c r="C4" s="3"/>
      <c r="D4" s="3"/>
      <c r="E4" s="3"/>
      <c r="F4" s="3"/>
      <c r="G4" s="3"/>
      <c r="H4" s="3"/>
      <c r="I4" s="3"/>
      <c r="J4" s="3"/>
      <c r="K4" s="3"/>
      <c r="L4" s="3"/>
      <c r="M4" s="3"/>
    </row>
    <row r="5" spans="1:13" ht="15.5" x14ac:dyDescent="0.35">
      <c r="A5" s="3"/>
      <c r="B5" s="162"/>
      <c r="C5" s="162"/>
      <c r="D5" s="3"/>
      <c r="E5" s="3"/>
      <c r="F5" s="3"/>
      <c r="G5" s="3"/>
      <c r="H5" s="3"/>
      <c r="I5" s="3"/>
      <c r="J5" s="3"/>
      <c r="K5" s="3"/>
      <c r="L5" s="3"/>
      <c r="M5" s="3"/>
    </row>
    <row r="6" spans="1:13" x14ac:dyDescent="0.35">
      <c r="A6" s="3"/>
      <c r="B6" s="3"/>
      <c r="C6" s="3"/>
      <c r="D6" s="3"/>
      <c r="E6" s="89" t="s">
        <v>0</v>
      </c>
      <c r="F6" s="88" t="s">
        <v>1</v>
      </c>
      <c r="G6" s="88" t="s">
        <v>2</v>
      </c>
      <c r="H6" s="88" t="s">
        <v>3</v>
      </c>
      <c r="I6" s="88" t="s">
        <v>4</v>
      </c>
      <c r="J6" s="88" t="s">
        <v>5</v>
      </c>
      <c r="K6" s="88"/>
      <c r="L6" s="3"/>
      <c r="M6" s="3"/>
    </row>
    <row r="7" spans="1:13" ht="15.5" x14ac:dyDescent="0.35">
      <c r="A7" s="3"/>
      <c r="B7" s="3"/>
      <c r="C7" s="3"/>
      <c r="D7" s="3"/>
      <c r="E7" s="91" t="str">
        <f>Assumptions!D6</f>
        <v>2022-23</v>
      </c>
      <c r="F7" s="91" t="str">
        <f>Assumptions!E6</f>
        <v>2023-24</v>
      </c>
      <c r="G7" s="91" t="str">
        <f>Assumptions!F6</f>
        <v>2024-25</v>
      </c>
      <c r="H7" s="91" t="str">
        <f>Assumptions!G6</f>
        <v>2025-26</v>
      </c>
      <c r="I7" s="91" t="str">
        <f>Assumptions!H6</f>
        <v>2026-27</v>
      </c>
      <c r="J7" s="91" t="str">
        <f>Assumptions!I6</f>
        <v>2027-28</v>
      </c>
      <c r="K7" s="91"/>
      <c r="L7" s="178" t="s">
        <v>6</v>
      </c>
      <c r="M7" s="3"/>
    </row>
    <row r="8" spans="1:13" ht="15.5" x14ac:dyDescent="0.35">
      <c r="A8" s="3"/>
      <c r="B8" s="87" t="s">
        <v>132</v>
      </c>
      <c r="C8" s="87"/>
      <c r="D8" s="132"/>
      <c r="E8" s="3"/>
      <c r="F8" s="3"/>
      <c r="G8" s="3"/>
      <c r="H8" s="3"/>
      <c r="I8" s="3"/>
      <c r="J8" s="3"/>
      <c r="K8" s="91"/>
      <c r="L8" s="139"/>
      <c r="M8" s="3"/>
    </row>
    <row r="9" spans="1:13" x14ac:dyDescent="0.35">
      <c r="A9" s="3"/>
      <c r="B9" s="149" t="s">
        <v>14</v>
      </c>
      <c r="C9" s="149"/>
      <c r="D9" s="142"/>
      <c r="E9" s="143"/>
      <c r="F9" s="150">
        <v>6500</v>
      </c>
      <c r="G9" s="150">
        <f>F9*1.01</f>
        <v>6565</v>
      </c>
      <c r="H9" s="150">
        <f>G9*1.01</f>
        <v>6630.65</v>
      </c>
      <c r="I9" s="150">
        <f t="shared" ref="I9:J9" si="0">H9*1.01</f>
        <v>6696.9564999999993</v>
      </c>
      <c r="J9" s="150">
        <f t="shared" si="0"/>
        <v>6763.9260649999997</v>
      </c>
      <c r="K9" s="91"/>
      <c r="L9" s="298"/>
      <c r="M9" s="3"/>
    </row>
    <row r="10" spans="1:13" x14ac:dyDescent="0.35">
      <c r="A10" s="3"/>
      <c r="B10" s="3"/>
      <c r="C10" s="3"/>
      <c r="D10" s="3"/>
      <c r="E10" s="91"/>
      <c r="F10" s="91"/>
      <c r="G10" s="91"/>
      <c r="H10" s="91"/>
      <c r="I10" s="91"/>
      <c r="J10" s="91"/>
      <c r="K10" s="91"/>
      <c r="L10" s="298"/>
      <c r="M10" s="3"/>
    </row>
    <row r="11" spans="1:13" x14ac:dyDescent="0.35">
      <c r="A11" s="3"/>
      <c r="B11" s="149" t="s">
        <v>249</v>
      </c>
      <c r="C11" s="149"/>
      <c r="D11" s="142"/>
      <c r="E11" s="143"/>
      <c r="F11" s="150">
        <v>3900</v>
      </c>
      <c r="G11" s="150">
        <v>4000</v>
      </c>
      <c r="H11" s="150">
        <v>4250</v>
      </c>
      <c r="I11" s="150">
        <v>4300</v>
      </c>
      <c r="J11" s="150">
        <v>4400</v>
      </c>
      <c r="K11" s="91"/>
      <c r="L11" s="298"/>
      <c r="M11" s="3"/>
    </row>
    <row r="12" spans="1:13" x14ac:dyDescent="0.35">
      <c r="A12" s="3"/>
      <c r="B12" s="295" t="s">
        <v>247</v>
      </c>
      <c r="C12" s="149"/>
      <c r="D12" s="142"/>
      <c r="E12" s="144"/>
      <c r="F12" s="169">
        <v>0</v>
      </c>
      <c r="G12" s="300">
        <f>F12</f>
        <v>0</v>
      </c>
      <c r="H12" s="301">
        <f>G12</f>
        <v>0</v>
      </c>
      <c r="I12" s="301">
        <f>H12</f>
        <v>0</v>
      </c>
      <c r="J12" s="301">
        <f>I12</f>
        <v>0</v>
      </c>
      <c r="K12" s="91"/>
      <c r="L12" s="298"/>
      <c r="M12" s="3"/>
    </row>
    <row r="13" spans="1:13" x14ac:dyDescent="0.35">
      <c r="A13" s="3"/>
      <c r="B13" s="3"/>
      <c r="C13" s="3"/>
      <c r="D13" s="3"/>
      <c r="E13" s="91"/>
      <c r="F13" s="91"/>
      <c r="G13" s="91"/>
      <c r="H13" s="91"/>
      <c r="I13" s="91"/>
      <c r="J13" s="91"/>
      <c r="K13" s="91"/>
      <c r="L13" s="298"/>
      <c r="M13" s="3"/>
    </row>
    <row r="14" spans="1:13" ht="15" customHeight="1" x14ac:dyDescent="0.35">
      <c r="A14" s="3"/>
      <c r="B14" s="3"/>
      <c r="C14" s="3"/>
      <c r="D14" s="3"/>
      <c r="E14" s="91"/>
      <c r="F14" s="3"/>
      <c r="G14" s="3"/>
      <c r="H14" s="3"/>
      <c r="I14" s="3"/>
      <c r="J14" s="3"/>
      <c r="K14" s="175"/>
      <c r="L14" s="298"/>
      <c r="M14" s="3"/>
    </row>
    <row r="15" spans="1:13" ht="29" x14ac:dyDescent="0.35">
      <c r="A15" s="3"/>
      <c r="B15" s="87" t="s">
        <v>133</v>
      </c>
      <c r="C15" s="87"/>
      <c r="D15" s="3"/>
      <c r="E15" s="91"/>
      <c r="F15" s="442" t="s">
        <v>134</v>
      </c>
      <c r="G15" s="442"/>
      <c r="H15" s="442"/>
      <c r="I15" s="442"/>
      <c r="J15" s="442"/>
      <c r="K15" s="175"/>
      <c r="L15" s="340" t="s">
        <v>275</v>
      </c>
      <c r="M15" s="3"/>
    </row>
    <row r="16" spans="1:13" ht="7.5" customHeight="1" x14ac:dyDescent="0.35">
      <c r="A16" s="3"/>
      <c r="B16" s="87"/>
      <c r="C16" s="87"/>
      <c r="D16" s="3"/>
      <c r="E16" s="275" t="s">
        <v>0</v>
      </c>
      <c r="F16" s="276" t="s">
        <v>1</v>
      </c>
      <c r="G16" s="276" t="s">
        <v>226</v>
      </c>
      <c r="H16" s="276" t="s">
        <v>227</v>
      </c>
      <c r="I16" s="276" t="s">
        <v>228</v>
      </c>
      <c r="J16" s="276" t="s">
        <v>229</v>
      </c>
      <c r="K16" s="175"/>
      <c r="L16" s="298"/>
      <c r="M16" s="3"/>
    </row>
    <row r="17" spans="1:26" ht="7.5" customHeight="1" x14ac:dyDescent="0.35">
      <c r="A17" s="3"/>
      <c r="B17" s="3"/>
      <c r="C17" s="3"/>
      <c r="D17" s="3"/>
      <c r="E17" s="277" t="str">
        <f>Assumptions!D6</f>
        <v>2022-23</v>
      </c>
      <c r="F17" s="277" t="str">
        <f>Assumptions!E6</f>
        <v>2023-24</v>
      </c>
      <c r="G17" s="277" t="str">
        <f>Assumptions!F6</f>
        <v>2024-25</v>
      </c>
      <c r="H17" s="277" t="str">
        <f>Assumptions!G6</f>
        <v>2025-26</v>
      </c>
      <c r="I17" s="277" t="str">
        <f>Assumptions!H6</f>
        <v>2026-27</v>
      </c>
      <c r="J17" s="277" t="str">
        <f>Assumptions!I6</f>
        <v>2027-28</v>
      </c>
      <c r="K17" s="91"/>
      <c r="L17" s="298"/>
      <c r="M17" s="3"/>
    </row>
    <row r="18" spans="1:26" ht="15.5" x14ac:dyDescent="0.35">
      <c r="A18" s="3"/>
      <c r="B18" s="179" t="s">
        <v>236</v>
      </c>
      <c r="C18" s="6"/>
      <c r="D18" s="3"/>
      <c r="E18" s="338">
        <f>'Institution Data'!E21</f>
        <v>0.66200000000000003</v>
      </c>
      <c r="F18" s="301">
        <f>E18</f>
        <v>0.66200000000000003</v>
      </c>
      <c r="G18" s="168">
        <v>0.66700000000000004</v>
      </c>
      <c r="H18" s="169">
        <v>0.67200000000000004</v>
      </c>
      <c r="I18" s="169">
        <v>0.67700000000000005</v>
      </c>
      <c r="J18" s="169">
        <v>0.68200000000000005</v>
      </c>
      <c r="K18" s="3"/>
      <c r="L18" s="135" t="s">
        <v>128</v>
      </c>
      <c r="M18" s="3"/>
    </row>
    <row r="19" spans="1:26" x14ac:dyDescent="0.35">
      <c r="A19" s="3"/>
      <c r="B19" s="180" t="s">
        <v>129</v>
      </c>
      <c r="C19" s="170"/>
      <c r="D19" s="171"/>
      <c r="E19" s="172"/>
      <c r="F19" s="173">
        <f>IF(E18&lt;&gt;"",IF(F18&lt;&gt;"",F18-E18,""), "")</f>
        <v>0</v>
      </c>
      <c r="G19" s="173">
        <f t="shared" ref="G19:J19" si="1">IF(F18&lt;&gt;"",IF(G18&lt;&gt;"",G18-F18,""), "")</f>
        <v>5.0000000000000044E-3</v>
      </c>
      <c r="H19" s="173">
        <f t="shared" si="1"/>
        <v>5.0000000000000044E-3</v>
      </c>
      <c r="I19" s="173">
        <f t="shared" si="1"/>
        <v>5.0000000000000044E-3</v>
      </c>
      <c r="J19" s="173">
        <f t="shared" si="1"/>
        <v>5.0000000000000044E-3</v>
      </c>
      <c r="K19" s="3"/>
      <c r="L19" s="135"/>
      <c r="M19" s="3"/>
    </row>
    <row r="20" spans="1:26" ht="7.5" customHeight="1" x14ac:dyDescent="0.35">
      <c r="A20" s="3"/>
      <c r="B20" s="180"/>
      <c r="C20" s="170"/>
      <c r="D20" s="171"/>
      <c r="E20" s="275" t="s">
        <v>0</v>
      </c>
      <c r="F20" s="276" t="s">
        <v>230</v>
      </c>
      <c r="G20" s="276" t="s">
        <v>226</v>
      </c>
      <c r="H20" s="276" t="s">
        <v>227</v>
      </c>
      <c r="I20" s="276" t="s">
        <v>228</v>
      </c>
      <c r="J20" s="276" t="s">
        <v>229</v>
      </c>
      <c r="K20" s="3"/>
      <c r="L20" s="135"/>
      <c r="M20" s="3"/>
    </row>
    <row r="21" spans="1:26" ht="7.5" customHeight="1" x14ac:dyDescent="0.35">
      <c r="A21" s="3"/>
      <c r="B21" s="93"/>
      <c r="C21" s="87"/>
      <c r="D21" s="3"/>
      <c r="E21" s="277" t="str">
        <f>Assumptions!D6</f>
        <v>2022-23</v>
      </c>
      <c r="F21" s="277" t="str">
        <f>Assumptions!E6</f>
        <v>2023-24</v>
      </c>
      <c r="G21" s="277" t="str">
        <f>Assumptions!F6</f>
        <v>2024-25</v>
      </c>
      <c r="H21" s="277" t="str">
        <f>Assumptions!G6</f>
        <v>2025-26</v>
      </c>
      <c r="I21" s="277" t="str">
        <f>Assumptions!H6</f>
        <v>2026-27</v>
      </c>
      <c r="J21" s="277" t="str">
        <f>Assumptions!I6</f>
        <v>2027-28</v>
      </c>
      <c r="K21" s="91"/>
      <c r="L21" s="298"/>
      <c r="M21" s="3"/>
    </row>
    <row r="22" spans="1:26" x14ac:dyDescent="0.35">
      <c r="A22" s="3"/>
      <c r="B22" s="179" t="s">
        <v>235</v>
      </c>
      <c r="C22" s="6"/>
      <c r="D22" s="3"/>
      <c r="E22" s="302">
        <f>'Institution Data'!E18</f>
        <v>23.8</v>
      </c>
      <c r="F22" s="164">
        <v>23.9</v>
      </c>
      <c r="G22" s="164">
        <v>24</v>
      </c>
      <c r="H22" s="164">
        <v>24.1</v>
      </c>
      <c r="I22" s="164">
        <v>24.2</v>
      </c>
      <c r="J22" s="164">
        <v>24.3</v>
      </c>
      <c r="K22" s="3"/>
      <c r="L22" s="135"/>
      <c r="M22" s="3"/>
    </row>
    <row r="23" spans="1:26" x14ac:dyDescent="0.35">
      <c r="A23" s="3"/>
      <c r="B23" s="180" t="s">
        <v>130</v>
      </c>
      <c r="C23" s="170"/>
      <c r="D23" s="171"/>
      <c r="E23" s="172"/>
      <c r="F23" s="174">
        <f>IF(E22&lt;&gt;"",IF(F22&lt;&gt;"",F22-E22,""), "")</f>
        <v>9.9999999999997868E-2</v>
      </c>
      <c r="G23" s="174">
        <f t="shared" ref="G23" si="2">IF(F22&lt;&gt;"",IF(G22&lt;&gt;"",G22-F22,""), "")</f>
        <v>0.10000000000000142</v>
      </c>
      <c r="H23" s="174">
        <f t="shared" ref="H23" si="3">IF(G22&lt;&gt;"",IF(H22&lt;&gt;"",H22-G22,""), "")</f>
        <v>0.10000000000000142</v>
      </c>
      <c r="I23" s="174">
        <f t="shared" ref="I23" si="4">IF(H22&lt;&gt;"",IF(I22&lt;&gt;"",I22-H22,""), "")</f>
        <v>9.9999999999997868E-2</v>
      </c>
      <c r="J23" s="174">
        <f t="shared" ref="J23" si="5">IF(I22&lt;&gt;"",IF(J22&lt;&gt;"",J22-I22,""), "")</f>
        <v>0.10000000000000142</v>
      </c>
      <c r="K23" s="3"/>
      <c r="L23" s="141"/>
      <c r="M23" s="3"/>
    </row>
    <row r="24" spans="1:26" ht="15.5" x14ac:dyDescent="0.35">
      <c r="A24" s="3"/>
      <c r="B24" s="162"/>
      <c r="C24" s="162"/>
      <c r="D24" s="3"/>
      <c r="E24" s="3"/>
      <c r="F24" s="3"/>
      <c r="G24" s="3"/>
      <c r="H24" s="3"/>
      <c r="I24" s="3"/>
      <c r="J24" s="3"/>
      <c r="K24" s="3"/>
      <c r="L24" s="141"/>
      <c r="M24" s="3"/>
    </row>
    <row r="25" spans="1:26" ht="15.5" x14ac:dyDescent="0.35">
      <c r="A25" s="3"/>
      <c r="B25" s="162"/>
      <c r="C25" s="162"/>
      <c r="D25" s="3"/>
      <c r="E25" s="3"/>
      <c r="F25" s="3"/>
      <c r="G25" s="3"/>
      <c r="H25" s="3"/>
      <c r="I25" s="3"/>
      <c r="J25" s="3"/>
      <c r="K25" s="3"/>
      <c r="L25" s="3"/>
      <c r="M25" s="3"/>
    </row>
    <row r="26" spans="1:26" x14ac:dyDescent="0.35">
      <c r="A26" s="3"/>
      <c r="B26" s="163"/>
      <c r="C26" s="163"/>
      <c r="D26" s="3"/>
      <c r="E26" s="3"/>
      <c r="F26" s="3"/>
      <c r="G26" s="3"/>
      <c r="H26" s="3"/>
      <c r="I26" s="3"/>
      <c r="J26" s="3"/>
      <c r="K26" s="3"/>
      <c r="L26" s="3"/>
      <c r="M26" s="3"/>
    </row>
    <row r="27" spans="1:26" x14ac:dyDescent="0.35">
      <c r="J27" s="109"/>
    </row>
    <row r="28" spans="1:26" x14ac:dyDescent="0.35">
      <c r="J28" s="109"/>
    </row>
    <row r="29" spans="1:26" x14ac:dyDescent="0.35">
      <c r="J29" s="109"/>
    </row>
    <row r="30" spans="1:26" ht="15.5" x14ac:dyDescent="0.35">
      <c r="B30" s="443"/>
      <c r="C30" s="443"/>
      <c r="D30" s="443"/>
      <c r="E30" s="443"/>
      <c r="F30" s="443"/>
      <c r="G30" s="443"/>
      <c r="H30" s="443"/>
      <c r="I30" s="156"/>
      <c r="W30" s="444"/>
      <c r="X30" s="444"/>
    </row>
    <row r="31" spans="1:26" ht="25" customHeight="1" x14ac:dyDescent="0.35">
      <c r="B31" s="157"/>
      <c r="C31" s="157"/>
      <c r="D31" s="157"/>
      <c r="E31" s="157"/>
      <c r="F31" s="157"/>
      <c r="G31" s="157"/>
      <c r="H31" s="157"/>
      <c r="I31" s="157"/>
      <c r="Z31" s="158"/>
    </row>
    <row r="32" spans="1:26" ht="25" customHeight="1" x14ac:dyDescent="0.35">
      <c r="I32" s="159"/>
    </row>
    <row r="33" spans="2:26" ht="15" customHeight="1" x14ac:dyDescent="0.35">
      <c r="E33" s="158"/>
      <c r="F33" s="158"/>
      <c r="G33" s="445"/>
      <c r="H33" s="445"/>
    </row>
    <row r="34" spans="2:26" ht="15" customHeight="1" x14ac:dyDescent="0.35">
      <c r="B34" s="160"/>
      <c r="C34" s="160"/>
      <c r="D34" s="160"/>
      <c r="E34" s="161"/>
      <c r="F34" s="161"/>
      <c r="G34" s="445"/>
      <c r="H34" s="445"/>
    </row>
    <row r="35" spans="2:26" ht="15" customHeight="1" x14ac:dyDescent="0.35">
      <c r="B35" s="161"/>
      <c r="C35" s="161"/>
      <c r="D35" s="161"/>
      <c r="E35" s="161"/>
      <c r="F35" s="161"/>
      <c r="G35" s="445"/>
      <c r="H35" s="445"/>
    </row>
    <row r="36" spans="2:26" x14ac:dyDescent="0.35">
      <c r="B36" s="161"/>
      <c r="C36" s="161"/>
      <c r="D36" s="161"/>
      <c r="E36" s="161"/>
      <c r="F36" s="161"/>
      <c r="G36" s="445"/>
      <c r="H36" s="445"/>
    </row>
    <row r="37" spans="2:26" x14ac:dyDescent="0.35">
      <c r="B37" s="161"/>
      <c r="C37" s="161"/>
      <c r="D37" s="161"/>
      <c r="E37" s="161"/>
      <c r="F37" s="161"/>
      <c r="G37" s="445"/>
      <c r="H37" s="445"/>
    </row>
    <row r="38" spans="2:26" x14ac:dyDescent="0.35">
      <c r="B38" s="161"/>
      <c r="C38" s="161"/>
      <c r="D38" s="161"/>
      <c r="E38" s="161"/>
      <c r="F38" s="161"/>
      <c r="G38" s="445"/>
      <c r="H38" s="445"/>
    </row>
    <row r="39" spans="2:26" ht="17.149999999999999" customHeight="1" x14ac:dyDescent="0.35">
      <c r="G39" s="445"/>
      <c r="H39" s="445"/>
    </row>
    <row r="40" spans="2:26" ht="17.149999999999999" customHeight="1" x14ac:dyDescent="0.35">
      <c r="F40" s="158"/>
      <c r="G40" s="158"/>
    </row>
    <row r="41" spans="2:26" ht="15.75" customHeight="1" x14ac:dyDescent="0.35"/>
    <row r="42" spans="2:26" ht="25" customHeight="1" x14ac:dyDescent="0.35">
      <c r="B42" s="160"/>
      <c r="C42" s="160"/>
      <c r="D42" s="160"/>
      <c r="E42" s="160"/>
      <c r="F42" s="160"/>
      <c r="G42" s="160"/>
      <c r="W42" s="444"/>
      <c r="X42" s="444"/>
      <c r="Y42" s="444"/>
    </row>
    <row r="43" spans="2:26" ht="25" customHeight="1" x14ac:dyDescent="0.35">
      <c r="B43" s="160"/>
      <c r="C43" s="160"/>
      <c r="D43" s="160"/>
      <c r="E43" s="160"/>
      <c r="F43" s="160"/>
      <c r="G43" s="160"/>
    </row>
    <row r="44" spans="2:26" ht="25" customHeight="1" x14ac:dyDescent="0.35">
      <c r="B44" s="160"/>
      <c r="C44" s="160"/>
      <c r="D44" s="160"/>
      <c r="E44" s="160"/>
      <c r="F44" s="160"/>
      <c r="G44" s="160"/>
      <c r="Z44" s="158"/>
    </row>
    <row r="45" spans="2:26" ht="15.5" x14ac:dyDescent="0.35">
      <c r="B45" s="160"/>
      <c r="C45" s="160"/>
      <c r="D45" s="160"/>
      <c r="E45" s="160"/>
      <c r="F45" s="160"/>
      <c r="G45" s="160"/>
      <c r="H45" s="53"/>
    </row>
    <row r="49" spans="9:13" ht="15.5" x14ac:dyDescent="0.35">
      <c r="I49" s="53"/>
      <c r="J49" s="53"/>
      <c r="K49" s="53"/>
      <c r="L49" s="53"/>
      <c r="M49" s="53"/>
    </row>
  </sheetData>
  <sheetProtection algorithmName="SHA-512" hashValue="sOYoOB5CSWMoGkmtOyT64G110E2v0EmMchCgjabth/pgbLEmAzcBsT/ciAgs0JBhBqZRd9f3lQgteAE76m3Kvg==" saltValue="U382fxXvS0uqGHHdgei8lA==" spinCount="100000" sheet="1" objects="1" scenarios="1"/>
  <mergeCells count="5">
    <mergeCell ref="F15:J15"/>
    <mergeCell ref="B30:H30"/>
    <mergeCell ref="W30:X30"/>
    <mergeCell ref="G33:H39"/>
    <mergeCell ref="W42:Y4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5F5E9-D2E4-42A4-A2D7-ADAD1DF8E157}">
  <sheetPr>
    <tabColor theme="9" tint="0.39997558519241921"/>
    <pageSetUpPr autoPageBreaks="0" fitToPage="1"/>
  </sheetPr>
  <dimension ref="A1:N44"/>
  <sheetViews>
    <sheetView showGridLines="0" zoomScale="90" zoomScaleNormal="90" workbookViewId="0"/>
  </sheetViews>
  <sheetFormatPr defaultColWidth="10.54296875" defaultRowHeight="15.5" x14ac:dyDescent="0.35"/>
  <cols>
    <col min="1" max="1" width="6.453125" style="55" customWidth="1"/>
    <col min="2" max="2" width="50.81640625" style="55" customWidth="1"/>
    <col min="3" max="3" width="8.7265625" style="55" customWidth="1"/>
    <col min="4" max="4" width="14.453125" style="55" customWidth="1"/>
    <col min="5" max="5" width="4" style="55" customWidth="1"/>
    <col min="6" max="10" width="14.453125" style="55" customWidth="1"/>
    <col min="11" max="11" width="6.453125" style="84" customWidth="1"/>
    <col min="12" max="12" width="84.54296875" style="55" customWidth="1"/>
    <col min="13" max="13" width="3.7265625" style="55" customWidth="1"/>
    <col min="14" max="14" width="3.7265625" style="84" customWidth="1"/>
    <col min="15" max="16384" width="10.54296875" style="55"/>
  </cols>
  <sheetData>
    <row r="1" spans="1:14" ht="18.5" x14ac:dyDescent="0.45">
      <c r="A1" s="31" t="str">
        <f>About!A1</f>
        <v>rpk GROUP | Advising Redesign Financial Model</v>
      </c>
      <c r="B1" s="54"/>
      <c r="C1" s="54"/>
      <c r="D1" s="54"/>
      <c r="E1" s="54"/>
      <c r="F1" s="54"/>
      <c r="G1" s="54"/>
      <c r="H1" s="54"/>
      <c r="I1" s="54"/>
      <c r="J1" s="54"/>
      <c r="K1" s="54"/>
      <c r="L1" s="54"/>
      <c r="M1" s="54"/>
      <c r="N1" s="54"/>
    </row>
    <row r="2" spans="1:14" ht="18.5" x14ac:dyDescent="0.45">
      <c r="A2" s="337" t="str">
        <f>About!A2</f>
        <v>In Collaboration with American Association of State Colleges and Universities (AASCU) &amp; Advising Success Network (ASN)</v>
      </c>
      <c r="B2" s="54"/>
      <c r="C2" s="54"/>
      <c r="D2" s="54"/>
      <c r="E2" s="54"/>
      <c r="F2" s="54"/>
      <c r="G2" s="54"/>
      <c r="H2" s="54"/>
      <c r="I2" s="54"/>
      <c r="J2" s="54"/>
      <c r="K2" s="54"/>
      <c r="L2" s="54"/>
      <c r="M2" s="54"/>
      <c r="N2" s="54"/>
    </row>
    <row r="3" spans="1:14" ht="18.5" x14ac:dyDescent="0.45">
      <c r="A3" s="33" t="s">
        <v>265</v>
      </c>
      <c r="B3" s="56"/>
      <c r="C3" s="56"/>
      <c r="D3" s="56"/>
      <c r="E3" s="56"/>
      <c r="F3" s="56"/>
      <c r="G3" s="56"/>
      <c r="H3" s="56"/>
      <c r="I3" s="56"/>
      <c r="J3" s="56"/>
      <c r="K3" s="56"/>
      <c r="L3" s="56"/>
      <c r="M3" s="56"/>
      <c r="N3" s="56"/>
    </row>
    <row r="4" spans="1:14" x14ac:dyDescent="0.35">
      <c r="A4" s="57" t="s">
        <v>57</v>
      </c>
      <c r="B4" s="58"/>
      <c r="C4" s="59"/>
      <c r="D4" s="336"/>
      <c r="E4" s="336"/>
      <c r="F4" s="446"/>
      <c r="G4" s="446"/>
      <c r="H4" s="446"/>
      <c r="I4" s="446"/>
      <c r="J4" s="446"/>
      <c r="K4" s="60"/>
      <c r="L4" s="58"/>
      <c r="M4" s="58"/>
      <c r="N4" s="60"/>
    </row>
    <row r="5" spans="1:14" x14ac:dyDescent="0.35">
      <c r="A5" s="58"/>
      <c r="B5" s="58"/>
      <c r="C5" s="58"/>
      <c r="D5" s="58"/>
      <c r="E5" s="58"/>
      <c r="F5" s="58"/>
      <c r="G5" s="58"/>
      <c r="H5" s="58"/>
      <c r="I5" s="58"/>
      <c r="J5" s="58"/>
      <c r="K5" s="60"/>
      <c r="L5" s="58"/>
      <c r="M5" s="58"/>
      <c r="N5" s="60"/>
    </row>
    <row r="6" spans="1:14" x14ac:dyDescent="0.35">
      <c r="A6" s="58"/>
      <c r="B6" s="58"/>
      <c r="C6" s="61"/>
      <c r="D6" s="62" t="s">
        <v>0</v>
      </c>
      <c r="E6" s="62"/>
      <c r="F6" s="62" t="s">
        <v>1</v>
      </c>
      <c r="G6" s="62" t="s">
        <v>2</v>
      </c>
      <c r="H6" s="62" t="s">
        <v>3</v>
      </c>
      <c r="I6" s="62" t="s">
        <v>4</v>
      </c>
      <c r="J6" s="62" t="s">
        <v>5</v>
      </c>
      <c r="K6" s="60"/>
      <c r="L6" s="58"/>
      <c r="M6" s="62"/>
      <c r="N6" s="60"/>
    </row>
    <row r="7" spans="1:14" x14ac:dyDescent="0.35">
      <c r="A7" s="59"/>
      <c r="B7" s="64"/>
      <c r="C7" s="59"/>
      <c r="D7" s="387" t="str">
        <f>Assumptions!D6</f>
        <v>2022-23</v>
      </c>
      <c r="E7" s="388"/>
      <c r="F7" s="387" t="str">
        <f>Assumptions!E6</f>
        <v>2023-24</v>
      </c>
      <c r="G7" s="387" t="str">
        <f>Assumptions!F6</f>
        <v>2024-25</v>
      </c>
      <c r="H7" s="387" t="str">
        <f>Assumptions!G6</f>
        <v>2025-26</v>
      </c>
      <c r="I7" s="387" t="str">
        <f>Assumptions!H6</f>
        <v>2026-27</v>
      </c>
      <c r="J7" s="387" t="str">
        <f>Assumptions!I6</f>
        <v>2027-28</v>
      </c>
      <c r="K7" s="60"/>
      <c r="L7" s="396"/>
      <c r="M7" s="58"/>
      <c r="N7" s="60"/>
    </row>
    <row r="8" spans="1:14" s="73" customFormat="1" ht="15" customHeight="1" x14ac:dyDescent="0.35">
      <c r="A8" s="59"/>
      <c r="B8" s="67"/>
      <c r="C8" s="68"/>
      <c r="D8" s="389"/>
      <c r="E8" s="389"/>
      <c r="F8" s="390"/>
      <c r="G8" s="390"/>
      <c r="H8" s="390"/>
      <c r="I8" s="390"/>
      <c r="J8" s="390"/>
      <c r="K8" s="71"/>
      <c r="L8" s="397"/>
      <c r="M8" s="72"/>
      <c r="N8" s="71"/>
    </row>
    <row r="9" spans="1:14" s="79" customFormat="1" x14ac:dyDescent="0.35">
      <c r="A9" s="59"/>
      <c r="B9" s="64" t="s">
        <v>262</v>
      </c>
      <c r="C9" s="329"/>
      <c r="D9" s="380">
        <f>'Advising Activity &amp; ROI Levers'!E18</f>
        <v>0.66200000000000003</v>
      </c>
      <c r="E9" s="334"/>
      <c r="F9" s="380">
        <f>'Advising Activity &amp; ROI Levers'!F18</f>
        <v>0.66200000000000003</v>
      </c>
      <c r="G9" s="381">
        <f>'Advising Activity &amp; ROI Levers'!G18</f>
        <v>0.66700000000000004</v>
      </c>
      <c r="H9" s="381">
        <f>'Advising Activity &amp; ROI Levers'!H18</f>
        <v>0.67200000000000004</v>
      </c>
      <c r="I9" s="381">
        <f>'Advising Activity &amp; ROI Levers'!I18</f>
        <v>0.67700000000000005</v>
      </c>
      <c r="J9" s="381">
        <f>'Advising Activity &amp; ROI Levers'!J18</f>
        <v>0.68200000000000005</v>
      </c>
      <c r="K9" s="77"/>
      <c r="L9" s="396" t="s">
        <v>263</v>
      </c>
      <c r="M9" s="78"/>
      <c r="N9" s="77"/>
    </row>
    <row r="10" spans="1:14" s="79" customFormat="1" x14ac:dyDescent="0.35">
      <c r="A10" s="59"/>
      <c r="B10" s="83"/>
      <c r="C10" s="331"/>
      <c r="D10" s="373"/>
      <c r="E10" s="373"/>
      <c r="F10" s="379"/>
      <c r="G10" s="374"/>
      <c r="H10" s="374"/>
      <c r="I10" s="374"/>
      <c r="J10" s="374"/>
      <c r="K10" s="77"/>
      <c r="L10" s="396"/>
      <c r="M10" s="78"/>
      <c r="N10" s="77"/>
    </row>
    <row r="11" spans="1:14" x14ac:dyDescent="0.35">
      <c r="A11" s="57"/>
      <c r="B11" s="58"/>
      <c r="C11" s="59"/>
      <c r="D11" s="391" t="s">
        <v>264</v>
      </c>
      <c r="E11" s="336"/>
      <c r="F11" s="447" t="s">
        <v>287</v>
      </c>
      <c r="G11" s="447"/>
      <c r="H11" s="447"/>
      <c r="I11" s="447"/>
      <c r="J11" s="447"/>
      <c r="K11" s="60"/>
      <c r="L11" s="63" t="s">
        <v>6</v>
      </c>
      <c r="M11" s="58"/>
      <c r="N11" s="60"/>
    </row>
    <row r="12" spans="1:14" s="378" customFormat="1" ht="33.75" customHeight="1" x14ac:dyDescent="0.35">
      <c r="A12" s="392"/>
      <c r="B12" s="393" t="s">
        <v>285</v>
      </c>
      <c r="C12" s="394"/>
      <c r="D12" s="395"/>
      <c r="E12" s="395"/>
      <c r="F12" s="448" t="s">
        <v>288</v>
      </c>
      <c r="G12" s="448"/>
      <c r="H12" s="448"/>
      <c r="I12" s="448"/>
      <c r="J12" s="448"/>
      <c r="K12" s="375"/>
      <c r="L12" s="376" t="s">
        <v>291</v>
      </c>
      <c r="M12" s="377"/>
      <c r="N12" s="375"/>
    </row>
    <row r="13" spans="1:14" s="79" customFormat="1" x14ac:dyDescent="0.35">
      <c r="A13" s="59"/>
      <c r="B13" s="372" t="s">
        <v>301</v>
      </c>
      <c r="C13" s="329"/>
      <c r="D13" s="382" t="s">
        <v>305</v>
      </c>
      <c r="E13" s="335"/>
      <c r="F13" s="382" t="s">
        <v>305</v>
      </c>
      <c r="G13" s="382" t="s">
        <v>305</v>
      </c>
      <c r="H13" s="382" t="s">
        <v>305</v>
      </c>
      <c r="I13" s="382" t="s">
        <v>305</v>
      </c>
      <c r="J13" s="382" t="s">
        <v>305</v>
      </c>
      <c r="K13" s="77"/>
      <c r="L13" s="66"/>
      <c r="M13" s="78"/>
      <c r="N13" s="77"/>
    </row>
    <row r="14" spans="1:14" s="79" customFormat="1" x14ac:dyDescent="0.35">
      <c r="A14" s="59"/>
      <c r="B14" s="372" t="s">
        <v>302</v>
      </c>
      <c r="C14" s="329"/>
      <c r="D14" s="382">
        <v>0.65</v>
      </c>
      <c r="E14" s="335"/>
      <c r="F14" s="382">
        <v>0.66</v>
      </c>
      <c r="G14" s="382">
        <v>0.66500000000000004</v>
      </c>
      <c r="H14" s="382">
        <v>0.67</v>
      </c>
      <c r="I14" s="382">
        <v>0.67500000000000004</v>
      </c>
      <c r="J14" s="382">
        <v>0.68200000000000005</v>
      </c>
      <c r="K14" s="77"/>
      <c r="L14" s="66"/>
      <c r="M14" s="74"/>
      <c r="N14" s="77"/>
    </row>
    <row r="15" spans="1:14" s="79" customFormat="1" x14ac:dyDescent="0.35">
      <c r="A15" s="59"/>
      <c r="B15" s="372" t="s">
        <v>303</v>
      </c>
      <c r="C15" s="329"/>
      <c r="D15" s="382">
        <v>0.6</v>
      </c>
      <c r="E15" s="335"/>
      <c r="F15" s="382">
        <v>0.62</v>
      </c>
      <c r="G15" s="382">
        <v>0.64</v>
      </c>
      <c r="H15" s="382">
        <v>0.66</v>
      </c>
      <c r="I15" s="382">
        <v>0.67</v>
      </c>
      <c r="J15" s="382">
        <v>0.68200000000000005</v>
      </c>
      <c r="K15" s="77"/>
      <c r="L15" s="66"/>
      <c r="M15" s="78"/>
      <c r="N15" s="77"/>
    </row>
    <row r="16" spans="1:14" s="79" customFormat="1" x14ac:dyDescent="0.35">
      <c r="A16" s="59"/>
      <c r="B16" s="372" t="s">
        <v>304</v>
      </c>
      <c r="C16" s="329"/>
      <c r="D16" s="382">
        <v>0.6</v>
      </c>
      <c r="E16" s="335"/>
      <c r="F16" s="382">
        <v>0.62</v>
      </c>
      <c r="G16" s="382">
        <v>0.64</v>
      </c>
      <c r="H16" s="382">
        <v>0.66</v>
      </c>
      <c r="I16" s="382">
        <v>0.67</v>
      </c>
      <c r="J16" s="382">
        <v>0.68200000000000005</v>
      </c>
      <c r="K16" s="77"/>
      <c r="L16" s="66"/>
      <c r="M16" s="74"/>
      <c r="N16" s="77"/>
    </row>
    <row r="17" spans="1:14" s="79" customFormat="1" x14ac:dyDescent="0.35">
      <c r="A17" s="59"/>
      <c r="B17" s="372"/>
      <c r="C17" s="329"/>
      <c r="D17" s="382"/>
      <c r="E17" s="335"/>
      <c r="F17" s="382"/>
      <c r="G17" s="382"/>
      <c r="H17" s="382"/>
      <c r="I17" s="382"/>
      <c r="J17" s="382"/>
      <c r="K17" s="77"/>
      <c r="L17" s="66"/>
      <c r="M17" s="78"/>
      <c r="N17" s="77"/>
    </row>
    <row r="18" spans="1:14" s="79" customFormat="1" x14ac:dyDescent="0.35">
      <c r="A18" s="59"/>
      <c r="B18" s="372"/>
      <c r="C18" s="329"/>
      <c r="D18" s="382"/>
      <c r="E18" s="335"/>
      <c r="F18" s="382"/>
      <c r="G18" s="382"/>
      <c r="H18" s="382"/>
      <c r="I18" s="382"/>
      <c r="J18" s="382"/>
      <c r="K18" s="77"/>
      <c r="L18" s="66"/>
      <c r="M18" s="74"/>
      <c r="N18" s="77"/>
    </row>
    <row r="19" spans="1:14" s="79" customFormat="1" x14ac:dyDescent="0.35">
      <c r="A19" s="59"/>
      <c r="B19" s="372"/>
      <c r="C19" s="329"/>
      <c r="D19" s="382"/>
      <c r="E19" s="335"/>
      <c r="F19" s="382"/>
      <c r="G19" s="382"/>
      <c r="H19" s="382"/>
      <c r="I19" s="382"/>
      <c r="J19" s="382"/>
      <c r="K19" s="77"/>
      <c r="L19" s="66"/>
      <c r="M19" s="74"/>
      <c r="N19" s="77"/>
    </row>
    <row r="20" spans="1:14" s="79" customFormat="1" x14ac:dyDescent="0.35">
      <c r="A20" s="59"/>
      <c r="B20" s="372"/>
      <c r="C20" s="329"/>
      <c r="D20" s="382"/>
      <c r="E20" s="335"/>
      <c r="F20" s="382"/>
      <c r="G20" s="382"/>
      <c r="H20" s="382"/>
      <c r="I20" s="382"/>
      <c r="J20" s="382"/>
      <c r="K20" s="77"/>
      <c r="L20" s="66"/>
      <c r="M20" s="74"/>
      <c r="N20" s="77"/>
    </row>
    <row r="21" spans="1:14" s="79" customFormat="1" x14ac:dyDescent="0.35">
      <c r="A21" s="59"/>
      <c r="B21" s="372"/>
      <c r="C21" s="329"/>
      <c r="D21" s="382"/>
      <c r="E21" s="335"/>
      <c r="F21" s="382"/>
      <c r="G21" s="382"/>
      <c r="H21" s="382"/>
      <c r="I21" s="382"/>
      <c r="J21" s="382"/>
      <c r="K21" s="77"/>
      <c r="L21" s="66"/>
      <c r="M21" s="74"/>
      <c r="N21" s="77"/>
    </row>
    <row r="22" spans="1:14" s="79" customFormat="1" x14ac:dyDescent="0.35">
      <c r="A22" s="59"/>
      <c r="B22" s="372"/>
      <c r="C22" s="329"/>
      <c r="D22" s="382"/>
      <c r="E22" s="335"/>
      <c r="F22" s="382"/>
      <c r="G22" s="382"/>
      <c r="H22" s="382"/>
      <c r="I22" s="382"/>
      <c r="J22" s="382"/>
      <c r="K22" s="77"/>
      <c r="L22" s="85"/>
      <c r="M22" s="78"/>
      <c r="N22" s="77"/>
    </row>
    <row r="23" spans="1:14" s="73" customFormat="1" ht="15" customHeight="1" x14ac:dyDescent="0.35">
      <c r="A23" s="59"/>
      <c r="B23" s="330" t="s">
        <v>289</v>
      </c>
      <c r="C23" s="80"/>
      <c r="D23" s="383"/>
      <c r="E23" s="69"/>
      <c r="F23" s="383"/>
      <c r="G23" s="383"/>
      <c r="H23" s="383"/>
      <c r="I23" s="383"/>
      <c r="J23" s="383"/>
      <c r="K23" s="71"/>
      <c r="L23" s="66"/>
      <c r="M23" s="72"/>
      <c r="N23" s="71"/>
    </row>
    <row r="24" spans="1:14" s="79" customFormat="1" x14ac:dyDescent="0.35">
      <c r="A24" s="59"/>
      <c r="B24" s="372" t="s">
        <v>299</v>
      </c>
      <c r="C24" s="329"/>
      <c r="D24" s="382">
        <v>0.60499999999999998</v>
      </c>
      <c r="E24" s="335"/>
      <c r="F24" s="382">
        <v>0.62</v>
      </c>
      <c r="G24" s="382">
        <v>0.63</v>
      </c>
      <c r="H24" s="382">
        <v>0.65</v>
      </c>
      <c r="I24" s="382">
        <v>0.67</v>
      </c>
      <c r="J24" s="382">
        <v>0.68200000000000005</v>
      </c>
      <c r="K24" s="77"/>
      <c r="L24" s="66"/>
      <c r="M24" s="78"/>
      <c r="N24" s="77"/>
    </row>
    <row r="25" spans="1:14" s="79" customFormat="1" x14ac:dyDescent="0.35">
      <c r="A25" s="59"/>
      <c r="B25" s="372"/>
      <c r="C25" s="329"/>
      <c r="D25" s="382"/>
      <c r="E25" s="335"/>
      <c r="F25" s="382"/>
      <c r="G25" s="382"/>
      <c r="H25" s="382"/>
      <c r="I25" s="382"/>
      <c r="J25" s="382"/>
      <c r="K25" s="77"/>
      <c r="L25" s="66"/>
      <c r="M25" s="74"/>
      <c r="N25" s="77"/>
    </row>
    <row r="26" spans="1:14" s="79" customFormat="1" x14ac:dyDescent="0.35">
      <c r="A26" s="59"/>
      <c r="B26" s="372"/>
      <c r="C26" s="329"/>
      <c r="D26" s="382"/>
      <c r="E26" s="335"/>
      <c r="F26" s="382"/>
      <c r="G26" s="382"/>
      <c r="H26" s="382"/>
      <c r="I26" s="382"/>
      <c r="J26" s="382"/>
      <c r="K26" s="77"/>
      <c r="L26" s="66"/>
      <c r="M26" s="78"/>
      <c r="N26" s="77"/>
    </row>
    <row r="27" spans="1:14" s="79" customFormat="1" x14ac:dyDescent="0.35">
      <c r="A27" s="59"/>
      <c r="B27" s="372"/>
      <c r="C27" s="329"/>
      <c r="D27" s="382"/>
      <c r="E27" s="335"/>
      <c r="F27" s="382"/>
      <c r="G27" s="382"/>
      <c r="H27" s="382"/>
      <c r="I27" s="382"/>
      <c r="J27" s="382"/>
      <c r="K27" s="77"/>
      <c r="L27" s="66"/>
      <c r="M27" s="74"/>
      <c r="N27" s="77"/>
    </row>
    <row r="28" spans="1:14" s="79" customFormat="1" x14ac:dyDescent="0.35">
      <c r="A28" s="59"/>
      <c r="B28" s="330" t="s">
        <v>284</v>
      </c>
      <c r="C28" s="331"/>
      <c r="D28" s="386"/>
      <c r="E28" s="332"/>
      <c r="F28" s="384"/>
      <c r="G28" s="385"/>
      <c r="H28" s="385"/>
      <c r="I28" s="385"/>
      <c r="J28" s="385"/>
      <c r="K28" s="77"/>
      <c r="L28" s="85"/>
      <c r="M28" s="78"/>
      <c r="N28" s="77"/>
    </row>
    <row r="29" spans="1:14" s="79" customFormat="1" x14ac:dyDescent="0.35">
      <c r="A29" s="59"/>
      <c r="B29" s="372" t="s">
        <v>300</v>
      </c>
      <c r="C29" s="329"/>
      <c r="D29" s="382">
        <v>0.63</v>
      </c>
      <c r="E29" s="335"/>
      <c r="F29" s="382">
        <v>0.64</v>
      </c>
      <c r="G29" s="382">
        <v>0.65</v>
      </c>
      <c r="H29" s="382">
        <v>0.66</v>
      </c>
      <c r="I29" s="382">
        <v>0.67</v>
      </c>
      <c r="J29" s="382">
        <v>0.68200000000000005</v>
      </c>
      <c r="K29" s="77"/>
      <c r="L29" s="66"/>
      <c r="M29" s="78"/>
      <c r="N29" s="77"/>
    </row>
    <row r="30" spans="1:14" s="79" customFormat="1" x14ac:dyDescent="0.35">
      <c r="A30" s="59"/>
      <c r="B30" s="372"/>
      <c r="C30" s="329"/>
      <c r="D30" s="382"/>
      <c r="E30" s="335"/>
      <c r="F30" s="382"/>
      <c r="G30" s="382"/>
      <c r="H30" s="382"/>
      <c r="I30" s="382"/>
      <c r="J30" s="382"/>
      <c r="K30" s="77"/>
      <c r="L30" s="66"/>
      <c r="M30" s="74"/>
      <c r="N30" s="77"/>
    </row>
    <row r="31" spans="1:14" s="79" customFormat="1" x14ac:dyDescent="0.35">
      <c r="A31" s="59"/>
      <c r="B31" s="372"/>
      <c r="C31" s="329"/>
      <c r="D31" s="382"/>
      <c r="E31" s="335"/>
      <c r="F31" s="382"/>
      <c r="G31" s="382"/>
      <c r="H31" s="382"/>
      <c r="I31" s="382"/>
      <c r="J31" s="382"/>
      <c r="K31" s="77"/>
      <c r="L31" s="66"/>
      <c r="M31" s="78"/>
      <c r="N31" s="77"/>
    </row>
    <row r="32" spans="1:14" s="79" customFormat="1" x14ac:dyDescent="0.35">
      <c r="A32" s="59"/>
      <c r="B32" s="372"/>
      <c r="C32" s="329"/>
      <c r="D32" s="382"/>
      <c r="E32" s="335"/>
      <c r="F32" s="382"/>
      <c r="G32" s="382"/>
      <c r="H32" s="382"/>
      <c r="I32" s="382"/>
      <c r="J32" s="382"/>
      <c r="K32" s="77"/>
      <c r="L32" s="66"/>
      <c r="M32" s="74"/>
      <c r="N32" s="77"/>
    </row>
    <row r="33" spans="1:14" s="79" customFormat="1" x14ac:dyDescent="0.35">
      <c r="A33" s="59"/>
      <c r="B33" s="372"/>
      <c r="C33" s="329"/>
      <c r="D33" s="382"/>
      <c r="E33" s="335"/>
      <c r="F33" s="382"/>
      <c r="G33" s="382"/>
      <c r="H33" s="382"/>
      <c r="I33" s="382"/>
      <c r="J33" s="382"/>
      <c r="K33" s="77"/>
      <c r="L33" s="66"/>
      <c r="M33" s="78"/>
      <c r="N33" s="77"/>
    </row>
    <row r="34" spans="1:14" s="79" customFormat="1" x14ac:dyDescent="0.35">
      <c r="A34" s="59"/>
      <c r="B34" s="372"/>
      <c r="C34" s="329"/>
      <c r="D34" s="382"/>
      <c r="E34" s="335"/>
      <c r="F34" s="382"/>
      <c r="G34" s="382"/>
      <c r="H34" s="382"/>
      <c r="I34" s="382"/>
      <c r="J34" s="382"/>
      <c r="K34" s="77"/>
      <c r="L34" s="66"/>
      <c r="M34" s="74"/>
      <c r="N34" s="77"/>
    </row>
    <row r="35" spans="1:14" s="79" customFormat="1" x14ac:dyDescent="0.35">
      <c r="A35" s="59"/>
      <c r="B35" s="83"/>
      <c r="C35" s="331"/>
      <c r="D35" s="332"/>
      <c r="E35" s="332"/>
      <c r="F35" s="83"/>
      <c r="G35" s="333"/>
      <c r="H35" s="333"/>
      <c r="I35" s="333"/>
      <c r="J35" s="333"/>
      <c r="K35" s="77"/>
      <c r="L35" s="85"/>
      <c r="M35" s="78"/>
      <c r="N35" s="77"/>
    </row>
    <row r="44" spans="1:14" x14ac:dyDescent="0.35">
      <c r="F44" s="84"/>
      <c r="G44" s="84"/>
    </row>
  </sheetData>
  <sheetProtection algorithmName="SHA-512" hashValue="n7N5WBfyVAhXE+l6+5ChUwof5GBVatUXwBlc1DHqHH9scJGER4Xr7sdNkGQA7Qu5orKetbUv9NkhzXIBMA9KUw==" saltValue="xYAfjaJlyxgH4RuUOhC1Pw==" spinCount="100000" sheet="1" objects="1" scenarios="1"/>
  <mergeCells count="3">
    <mergeCell ref="F4:J4"/>
    <mergeCell ref="F11:J11"/>
    <mergeCell ref="F12:J12"/>
  </mergeCells>
  <pageMargins left="0.25" right="0.25" top="0.25" bottom="0.25" header="0.3" footer="0.3"/>
  <pageSetup scale="40" fitToHeight="0"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7" tint="0.59999389629810485"/>
  </sheetPr>
  <dimension ref="A1:S30"/>
  <sheetViews>
    <sheetView zoomScale="90" zoomScaleNormal="90" workbookViewId="0">
      <selection activeCell="F7" sqref="F7"/>
    </sheetView>
  </sheetViews>
  <sheetFormatPr defaultColWidth="9.1796875" defaultRowHeight="14.5" x14ac:dyDescent="0.35"/>
  <cols>
    <col min="1" max="1" width="3.453125" style="2" customWidth="1"/>
    <col min="2" max="2" width="55.54296875" style="2" customWidth="1"/>
    <col min="3" max="4" width="13.453125" style="2" customWidth="1"/>
    <col min="5" max="10" width="12.26953125" style="2" customWidth="1"/>
    <col min="11" max="16" width="14.26953125" style="2" customWidth="1"/>
    <col min="17" max="17" width="3.453125" style="2" customWidth="1"/>
    <col min="18" max="18" width="42.7265625" style="2" customWidth="1"/>
    <col min="19" max="19" width="3.453125" style="2" customWidth="1"/>
    <col min="20" max="20" width="9.1796875" style="2" customWidth="1"/>
    <col min="21" max="16384" width="9.1796875" style="2"/>
  </cols>
  <sheetData>
    <row r="1" spans="1:19" ht="18.5" x14ac:dyDescent="0.45">
      <c r="A1" s="31" t="str">
        <f>About!A1</f>
        <v>rpk GROUP | Advising Redesign Financial Model</v>
      </c>
      <c r="B1" s="32"/>
      <c r="C1" s="32"/>
      <c r="D1" s="32"/>
      <c r="E1" s="32"/>
      <c r="F1" s="32"/>
      <c r="G1" s="32"/>
      <c r="H1" s="32"/>
      <c r="I1" s="32"/>
      <c r="J1" s="32"/>
      <c r="K1" s="32"/>
      <c r="L1" s="32"/>
      <c r="M1" s="32"/>
      <c r="N1" s="32"/>
      <c r="O1" s="32"/>
      <c r="P1" s="32"/>
      <c r="Q1" s="32"/>
      <c r="R1" s="32"/>
      <c r="S1" s="32"/>
    </row>
    <row r="2" spans="1:19" ht="18.5" x14ac:dyDescent="0.45">
      <c r="A2" s="337" t="str">
        <f>About!A2</f>
        <v>In Collaboration with American Association of State Colleges and Universities (AASCU) &amp; Advising Success Network (ASN)</v>
      </c>
      <c r="B2" s="32"/>
      <c r="C2" s="32"/>
      <c r="D2" s="32"/>
      <c r="E2" s="32"/>
      <c r="F2" s="32"/>
      <c r="G2" s="32"/>
      <c r="H2" s="32"/>
      <c r="I2" s="32"/>
      <c r="J2" s="32"/>
      <c r="K2" s="32"/>
      <c r="L2" s="32"/>
      <c r="M2" s="32"/>
      <c r="N2" s="32"/>
      <c r="O2" s="32"/>
      <c r="P2" s="32"/>
      <c r="Q2" s="32"/>
      <c r="R2" s="32"/>
      <c r="S2" s="32"/>
    </row>
    <row r="3" spans="1:19" ht="15" customHeight="1" x14ac:dyDescent="0.45">
      <c r="A3" s="33" t="s">
        <v>108</v>
      </c>
      <c r="B3" s="34"/>
      <c r="C3" s="34"/>
      <c r="D3" s="34"/>
      <c r="E3" s="34"/>
      <c r="F3" s="34"/>
      <c r="G3" s="34"/>
      <c r="H3" s="34"/>
      <c r="I3" s="34"/>
      <c r="J3" s="34"/>
      <c r="K3" s="34"/>
      <c r="L3" s="34"/>
      <c r="M3" s="34"/>
      <c r="N3" s="34"/>
      <c r="O3" s="34"/>
      <c r="P3" s="34"/>
      <c r="Q3" s="34"/>
      <c r="R3" s="34"/>
      <c r="S3" s="34"/>
    </row>
    <row r="4" spans="1:19" ht="15.5" x14ac:dyDescent="0.35">
      <c r="A4" s="86" t="s">
        <v>57</v>
      </c>
      <c r="B4" s="3"/>
      <c r="C4" s="3"/>
      <c r="D4" s="3"/>
      <c r="E4" s="3"/>
      <c r="F4" s="3"/>
      <c r="G4" s="3"/>
      <c r="H4" s="3"/>
      <c r="I4" s="87"/>
      <c r="J4" s="3"/>
      <c r="K4" s="3"/>
      <c r="L4" s="3"/>
      <c r="M4" s="3"/>
      <c r="N4" s="3"/>
      <c r="O4" s="3"/>
      <c r="P4" s="3"/>
      <c r="Q4" s="3"/>
      <c r="R4" s="3"/>
      <c r="S4" s="3"/>
    </row>
    <row r="5" spans="1:19" ht="15.5" x14ac:dyDescent="0.35">
      <c r="A5" s="3"/>
      <c r="B5" s="132"/>
      <c r="C5" s="3"/>
      <c r="D5" s="3"/>
      <c r="E5" s="442" t="s">
        <v>107</v>
      </c>
      <c r="F5" s="442"/>
      <c r="G5" s="442"/>
      <c r="H5" s="442"/>
      <c r="I5" s="442"/>
      <c r="J5" s="442"/>
      <c r="K5" s="3"/>
      <c r="L5" s="3"/>
      <c r="M5" s="3"/>
      <c r="N5" s="3"/>
      <c r="O5" s="3"/>
      <c r="P5" s="3"/>
      <c r="Q5" s="3"/>
      <c r="R5" s="3"/>
      <c r="S5" s="3"/>
    </row>
    <row r="6" spans="1:19" ht="29" x14ac:dyDescent="0.35">
      <c r="A6" s="3"/>
      <c r="B6" s="449" t="s">
        <v>106</v>
      </c>
      <c r="C6" s="451" t="s">
        <v>27</v>
      </c>
      <c r="D6" s="453" t="s">
        <v>7</v>
      </c>
      <c r="E6" s="89" t="s">
        <v>24</v>
      </c>
      <c r="F6" s="88" t="s">
        <v>1</v>
      </c>
      <c r="G6" s="88" t="s">
        <v>2</v>
      </c>
      <c r="H6" s="88" t="s">
        <v>3</v>
      </c>
      <c r="I6" s="88" t="s">
        <v>4</v>
      </c>
      <c r="J6" s="88" t="s">
        <v>5</v>
      </c>
      <c r="K6" s="89" t="s">
        <v>24</v>
      </c>
      <c r="L6" s="88" t="s">
        <v>1</v>
      </c>
      <c r="M6" s="88" t="s">
        <v>2</v>
      </c>
      <c r="N6" s="88" t="s">
        <v>3</v>
      </c>
      <c r="O6" s="88" t="s">
        <v>4</v>
      </c>
      <c r="P6" s="88" t="s">
        <v>5</v>
      </c>
      <c r="Q6" s="3"/>
      <c r="R6" s="178" t="s">
        <v>6</v>
      </c>
      <c r="S6" s="3"/>
    </row>
    <row r="7" spans="1:19" x14ac:dyDescent="0.35">
      <c r="A7" s="3"/>
      <c r="B7" s="450"/>
      <c r="C7" s="452"/>
      <c r="D7" s="442"/>
      <c r="E7" s="91" t="str">
        <f>Assumptions!D6</f>
        <v>2022-23</v>
      </c>
      <c r="F7" s="91" t="str">
        <f>Assumptions!E6</f>
        <v>2023-24</v>
      </c>
      <c r="G7" s="91" t="str">
        <f>Assumptions!F6</f>
        <v>2024-25</v>
      </c>
      <c r="H7" s="91" t="str">
        <f>Assumptions!G6</f>
        <v>2025-26</v>
      </c>
      <c r="I7" s="91" t="str">
        <f>Assumptions!H6</f>
        <v>2026-27</v>
      </c>
      <c r="J7" s="91" t="str">
        <f>Assumptions!I6</f>
        <v>2027-28</v>
      </c>
      <c r="K7" s="91" t="str">
        <f>Assumptions!D6</f>
        <v>2022-23</v>
      </c>
      <c r="L7" s="91" t="str">
        <f>Assumptions!E6</f>
        <v>2023-24</v>
      </c>
      <c r="M7" s="91" t="str">
        <f>Assumptions!F6</f>
        <v>2024-25</v>
      </c>
      <c r="N7" s="91" t="str">
        <f>Assumptions!G6</f>
        <v>2025-26</v>
      </c>
      <c r="O7" s="91" t="str">
        <f>Assumptions!H6</f>
        <v>2026-27</v>
      </c>
      <c r="P7" s="91" t="str">
        <f>Assumptions!I6</f>
        <v>2027-28</v>
      </c>
      <c r="Q7" s="3"/>
      <c r="R7" s="90"/>
      <c r="S7" s="3"/>
    </row>
    <row r="8" spans="1:19" s="7" customFormat="1" x14ac:dyDescent="0.35">
      <c r="A8" s="6"/>
      <c r="B8" s="177" t="s">
        <v>8</v>
      </c>
      <c r="C8" s="118">
        <v>100000</v>
      </c>
      <c r="D8" s="119">
        <v>1</v>
      </c>
      <c r="E8" s="120">
        <v>0.05</v>
      </c>
      <c r="F8" s="121">
        <v>0.05</v>
      </c>
      <c r="G8" s="121">
        <v>0.05</v>
      </c>
      <c r="H8" s="121">
        <v>0.05</v>
      </c>
      <c r="I8" s="121">
        <v>0.05</v>
      </c>
      <c r="J8" s="122">
        <v>0.05</v>
      </c>
      <c r="K8" s="123">
        <f>(C8*D8)*E8</f>
        <v>5000</v>
      </c>
      <c r="L8" s="124">
        <f>(($C8*(POWER(1+Assumptions!$E$12,1))*$D8)*F8)</f>
        <v>5100</v>
      </c>
      <c r="M8" s="124">
        <f>(($C8*(POWER(1+Assumptions!$F$12,2))*$D8)*G8)</f>
        <v>5202</v>
      </c>
      <c r="N8" s="124">
        <f>(($C8*(POWER(1+Assumptions!$G$12,3))*$D8)*H8)</f>
        <v>5306.04</v>
      </c>
      <c r="O8" s="124">
        <f>(($C8*(POWER(1+Assumptions!$H$12,4))*$D8)*I8)</f>
        <v>5412.1608000000006</v>
      </c>
      <c r="P8" s="124">
        <f>(($C8*(POWER(1+Assumptions!$I$12,5))*$D8)*J8)</f>
        <v>5520.4040160000004</v>
      </c>
      <c r="Q8" s="6"/>
      <c r="R8" s="136"/>
      <c r="S8" s="6"/>
    </row>
    <row r="9" spans="1:19" s="7" customFormat="1" x14ac:dyDescent="0.35">
      <c r="A9" s="6"/>
      <c r="B9" s="176" t="s">
        <v>250</v>
      </c>
      <c r="C9" s="113">
        <v>100000</v>
      </c>
      <c r="D9" s="114">
        <v>1</v>
      </c>
      <c r="E9" s="115">
        <v>0.15</v>
      </c>
      <c r="F9" s="116">
        <v>0.1</v>
      </c>
      <c r="G9" s="116">
        <v>0.05</v>
      </c>
      <c r="H9" s="116">
        <v>2.5000000000000001E-2</v>
      </c>
      <c r="I9" s="116">
        <v>2.5000000000000001E-2</v>
      </c>
      <c r="J9" s="116">
        <v>2.5000000000000001E-2</v>
      </c>
      <c r="K9" s="110">
        <f>(C9*D9)*E9</f>
        <v>15000</v>
      </c>
      <c r="L9" s="111">
        <f>(($C9*(POWER(1+Assumptions!$E$12,1))*$D9)*F9)</f>
        <v>10200</v>
      </c>
      <c r="M9" s="111">
        <f>(($C9*(POWER(1+Assumptions!$F$12,2))*$D9)*G9)</f>
        <v>5202</v>
      </c>
      <c r="N9" s="111">
        <f>(($C9*(POWER(1+Assumptions!$G$12,3))*$D9)*H9)</f>
        <v>2653.02</v>
      </c>
      <c r="O9" s="111">
        <f>(($C9*(POWER(1+Assumptions!$H$12,4))*$D9)*I9)</f>
        <v>2706.0804000000003</v>
      </c>
      <c r="P9" s="111">
        <f>(($C9*(POWER(1+Assumptions!$I$12,5))*$D9)*J9)</f>
        <v>2760.2020080000002</v>
      </c>
      <c r="Q9" s="6"/>
      <c r="R9" s="136"/>
      <c r="S9" s="6"/>
    </row>
    <row r="10" spans="1:19" s="7" customFormat="1" x14ac:dyDescent="0.35">
      <c r="A10" s="6"/>
      <c r="B10" s="176" t="s">
        <v>34</v>
      </c>
      <c r="C10" s="113">
        <v>75000</v>
      </c>
      <c r="D10" s="114">
        <v>1</v>
      </c>
      <c r="E10" s="115">
        <v>0.2</v>
      </c>
      <c r="F10" s="116">
        <v>0.15</v>
      </c>
      <c r="G10" s="116">
        <v>0.1</v>
      </c>
      <c r="H10" s="116">
        <v>0.05</v>
      </c>
      <c r="I10" s="116">
        <v>0.05</v>
      </c>
      <c r="J10" s="116">
        <v>0.05</v>
      </c>
      <c r="K10" s="110">
        <f t="shared" ref="K10:K23" si="0">(C10*D10)*E10</f>
        <v>15000</v>
      </c>
      <c r="L10" s="111">
        <f>(($C10*(POWER(1+Assumptions!$E$12,1))*$D10)*F10)</f>
        <v>11475</v>
      </c>
      <c r="M10" s="111">
        <f>(($C10*(POWER(1+Assumptions!$F$12,2))*$D10)*G10)</f>
        <v>7803</v>
      </c>
      <c r="N10" s="111">
        <f>(($C10*(POWER(1+Assumptions!$G$12,3))*$D10)*H10)</f>
        <v>3979.5299999999997</v>
      </c>
      <c r="O10" s="111">
        <f>(($C10*(POWER(1+Assumptions!$H$12,4))*$D10)*I10)</f>
        <v>4059.1206000000002</v>
      </c>
      <c r="P10" s="111">
        <f>(($C10*(POWER(1+Assumptions!$I$12,5))*$D10)*J10)</f>
        <v>4140.3030120000003</v>
      </c>
      <c r="Q10" s="6"/>
      <c r="R10" s="136"/>
      <c r="S10" s="6"/>
    </row>
    <row r="11" spans="1:19" s="7" customFormat="1" x14ac:dyDescent="0.35">
      <c r="A11" s="6"/>
      <c r="B11" s="176" t="s">
        <v>35</v>
      </c>
      <c r="C11" s="113">
        <v>60000</v>
      </c>
      <c r="D11" s="114">
        <v>4</v>
      </c>
      <c r="E11" s="115">
        <f>2.5%/4</f>
        <v>6.2500000000000003E-3</v>
      </c>
      <c r="F11" s="116">
        <v>0.5</v>
      </c>
      <c r="G11" s="116">
        <v>0.5</v>
      </c>
      <c r="H11" s="116">
        <v>0.5</v>
      </c>
      <c r="I11" s="116">
        <v>0.5</v>
      </c>
      <c r="J11" s="116">
        <v>0.5</v>
      </c>
      <c r="K11" s="110">
        <f t="shared" si="0"/>
        <v>1500</v>
      </c>
      <c r="L11" s="111">
        <f>(($C11*(POWER(1+Assumptions!$E$12,1))*$D11)*F11)</f>
        <v>122400</v>
      </c>
      <c r="M11" s="111">
        <f>(($C11*(POWER(1+Assumptions!$F$12,2))*$D11)*G11)</f>
        <v>124848</v>
      </c>
      <c r="N11" s="111">
        <f>(($C11*(POWER(1+Assumptions!$G$12,3))*$D11)*H11)</f>
        <v>127344.95999999999</v>
      </c>
      <c r="O11" s="111">
        <f>(($C11*(POWER(1+Assumptions!$H$12,4))*$D11)*I11)</f>
        <v>129891.85919999999</v>
      </c>
      <c r="P11" s="111">
        <f>(($C11*(POWER(1+Assumptions!$I$12,5))*$D11)*J11)</f>
        <v>132489.69638400001</v>
      </c>
      <c r="Q11" s="6"/>
      <c r="R11" s="136"/>
      <c r="S11" s="6"/>
    </row>
    <row r="12" spans="1:19" s="7" customFormat="1" x14ac:dyDescent="0.35">
      <c r="A12" s="6"/>
      <c r="B12" s="176" t="s">
        <v>253</v>
      </c>
      <c r="C12" s="113">
        <v>60000</v>
      </c>
      <c r="D12" s="114">
        <v>2</v>
      </c>
      <c r="E12" s="115"/>
      <c r="F12" s="116"/>
      <c r="G12" s="116">
        <v>1</v>
      </c>
      <c r="H12" s="116">
        <v>1</v>
      </c>
      <c r="I12" s="116">
        <v>1</v>
      </c>
      <c r="J12" s="116">
        <v>1</v>
      </c>
      <c r="K12" s="110">
        <f t="shared" si="0"/>
        <v>0</v>
      </c>
      <c r="L12" s="111">
        <f>(($C12*(POWER(1+Assumptions!$E$12,1))*$D12)*F12)</f>
        <v>0</v>
      </c>
      <c r="M12" s="111">
        <f>(($C12*(POWER(1+Assumptions!$F$12,2))*$D12)*G12)</f>
        <v>124848</v>
      </c>
      <c r="N12" s="111">
        <f>(($C12*(POWER(1+Assumptions!$G$12,3))*$D12)*H12)</f>
        <v>127344.95999999999</v>
      </c>
      <c r="O12" s="111">
        <f>(($C12*(POWER(1+Assumptions!$H$12,4))*$D12)*I12)</f>
        <v>129891.85919999999</v>
      </c>
      <c r="P12" s="111">
        <f>(($C12*(POWER(1+Assumptions!$I$12,5))*$D12)*J12)</f>
        <v>132489.69638400001</v>
      </c>
      <c r="Q12" s="6"/>
      <c r="R12" s="136"/>
      <c r="S12" s="6"/>
    </row>
    <row r="13" spans="1:19" s="7" customFormat="1" x14ac:dyDescent="0.35">
      <c r="A13" s="6"/>
      <c r="B13" s="176" t="s">
        <v>251</v>
      </c>
      <c r="C13" s="113">
        <v>60000</v>
      </c>
      <c r="D13" s="114">
        <v>1</v>
      </c>
      <c r="E13" s="115">
        <v>2.5000000000000001E-2</v>
      </c>
      <c r="F13" s="116">
        <v>0.05</v>
      </c>
      <c r="G13" s="116">
        <v>0.05</v>
      </c>
      <c r="H13" s="116">
        <v>0.05</v>
      </c>
      <c r="I13" s="116">
        <v>0.05</v>
      </c>
      <c r="J13" s="117">
        <v>0.05</v>
      </c>
      <c r="K13" s="110">
        <f t="shared" si="0"/>
        <v>1500</v>
      </c>
      <c r="L13" s="111">
        <f>(($C13*(POWER(1+Assumptions!$E$12,1))*$D13)*F13)</f>
        <v>3060</v>
      </c>
      <c r="M13" s="111">
        <f>(($C13*(POWER(1+Assumptions!$F$12,2))*$D13)*G13)</f>
        <v>3121.2000000000003</v>
      </c>
      <c r="N13" s="111">
        <f>(($C13*(POWER(1+Assumptions!$G$12,3))*$D13)*H13)</f>
        <v>3183.6239999999998</v>
      </c>
      <c r="O13" s="111">
        <f>(($C13*(POWER(1+Assumptions!$H$12,4))*$D13)*I13)</f>
        <v>3247.29648</v>
      </c>
      <c r="P13" s="111">
        <f>(($C13*(POWER(1+Assumptions!$I$12,5))*$D13)*J13)</f>
        <v>3312.2424096000004</v>
      </c>
      <c r="Q13" s="6"/>
      <c r="R13" s="136"/>
      <c r="S13" s="6"/>
    </row>
    <row r="14" spans="1:19" s="7" customFormat="1" x14ac:dyDescent="0.35">
      <c r="A14" s="6"/>
      <c r="B14" s="176" t="s">
        <v>252</v>
      </c>
      <c r="C14" s="113">
        <v>60000</v>
      </c>
      <c r="D14" s="114">
        <v>1</v>
      </c>
      <c r="E14" s="115">
        <v>2.5000000000000001E-2</v>
      </c>
      <c r="F14" s="116">
        <v>0.05</v>
      </c>
      <c r="G14" s="116">
        <v>0.05</v>
      </c>
      <c r="H14" s="116">
        <v>0.05</v>
      </c>
      <c r="I14" s="116">
        <v>0.05</v>
      </c>
      <c r="J14" s="117">
        <v>0.05</v>
      </c>
      <c r="K14" s="110">
        <f t="shared" si="0"/>
        <v>1500</v>
      </c>
      <c r="L14" s="111">
        <f>(($C14*(POWER(1+Assumptions!$E$12,1))*$D14)*F14)</f>
        <v>3060</v>
      </c>
      <c r="M14" s="111">
        <f>(($C14*(POWER(1+Assumptions!$F$12,2))*$D14)*G14)</f>
        <v>3121.2000000000003</v>
      </c>
      <c r="N14" s="111">
        <f>(($C14*(POWER(1+Assumptions!$G$12,3))*$D14)*H14)</f>
        <v>3183.6239999999998</v>
      </c>
      <c r="O14" s="111">
        <f>(($C14*(POWER(1+Assumptions!$H$12,4))*$D14)*I14)</f>
        <v>3247.29648</v>
      </c>
      <c r="P14" s="111">
        <f>(($C14*(POWER(1+Assumptions!$I$12,5))*$D14)*J14)</f>
        <v>3312.2424096000004</v>
      </c>
      <c r="Q14" s="6"/>
      <c r="R14" s="136"/>
      <c r="S14" s="6"/>
    </row>
    <row r="15" spans="1:19" s="7" customFormat="1" x14ac:dyDescent="0.35">
      <c r="A15" s="6"/>
      <c r="B15" s="176" t="s">
        <v>259</v>
      </c>
      <c r="C15" s="113">
        <v>60000</v>
      </c>
      <c r="D15" s="114">
        <v>1</v>
      </c>
      <c r="E15" s="115">
        <v>2.5000000000000001E-2</v>
      </c>
      <c r="F15" s="116">
        <v>0.05</v>
      </c>
      <c r="G15" s="116">
        <v>0.05</v>
      </c>
      <c r="H15" s="116">
        <v>0.05</v>
      </c>
      <c r="I15" s="116">
        <v>0.05</v>
      </c>
      <c r="J15" s="116">
        <v>0.05</v>
      </c>
      <c r="K15" s="110">
        <f t="shared" si="0"/>
        <v>1500</v>
      </c>
      <c r="L15" s="111">
        <f>(($C15*(POWER(1+Assumptions!$E$12,1))*$D15)*F15)</f>
        <v>3060</v>
      </c>
      <c r="M15" s="111">
        <f>(($C15*(POWER(1+Assumptions!$F$12,2))*$D15)*G15)</f>
        <v>3121.2000000000003</v>
      </c>
      <c r="N15" s="111">
        <f>(($C15*(POWER(1+Assumptions!$G$12,3))*$D15)*H15)</f>
        <v>3183.6239999999998</v>
      </c>
      <c r="O15" s="111">
        <f>(($C15*(POWER(1+Assumptions!$H$12,4))*$D15)*I15)</f>
        <v>3247.29648</v>
      </c>
      <c r="P15" s="111">
        <f>(($C15*(POWER(1+Assumptions!$I$12,5))*$D15)*J15)</f>
        <v>3312.2424096000004</v>
      </c>
      <c r="Q15" s="6"/>
      <c r="R15" s="136"/>
      <c r="S15" s="6"/>
    </row>
    <row r="16" spans="1:19" s="7" customFormat="1" x14ac:dyDescent="0.35">
      <c r="A16" s="6"/>
      <c r="B16" s="176" t="s">
        <v>36</v>
      </c>
      <c r="C16" s="113">
        <v>75000</v>
      </c>
      <c r="D16" s="114">
        <v>2</v>
      </c>
      <c r="E16" s="115">
        <v>0.05</v>
      </c>
      <c r="F16" s="116">
        <v>0.05</v>
      </c>
      <c r="G16" s="116">
        <v>0.01</v>
      </c>
      <c r="H16" s="116">
        <v>0.01</v>
      </c>
      <c r="I16" s="116">
        <v>0.01</v>
      </c>
      <c r="J16" s="116">
        <v>0.01</v>
      </c>
      <c r="K16" s="110">
        <f t="shared" si="0"/>
        <v>7500</v>
      </c>
      <c r="L16" s="111">
        <f>(($C16*(POWER(1+Assumptions!$E$12,1))*$D16)*F16)</f>
        <v>7650</v>
      </c>
      <c r="M16" s="111">
        <f>(($C16*(POWER(1+Assumptions!$F$12,2))*$D16)*G16)</f>
        <v>1560.6000000000001</v>
      </c>
      <c r="N16" s="111">
        <f>(($C16*(POWER(1+Assumptions!$G$12,3))*$D16)*H16)</f>
        <v>1591.8119999999999</v>
      </c>
      <c r="O16" s="111">
        <f>(($C16*(POWER(1+Assumptions!$H$12,4))*$D16)*I16)</f>
        <v>1623.64824</v>
      </c>
      <c r="P16" s="111">
        <f>(($C16*(POWER(1+Assumptions!$I$12,5))*$D16)*J16)</f>
        <v>1656.1212048000002</v>
      </c>
      <c r="Q16" s="6"/>
      <c r="R16" s="136"/>
      <c r="S16" s="6"/>
    </row>
    <row r="17" spans="1:19" s="7" customFormat="1" x14ac:dyDescent="0.35">
      <c r="A17" s="6"/>
      <c r="B17" s="176"/>
      <c r="C17" s="113"/>
      <c r="D17" s="114"/>
      <c r="E17" s="115"/>
      <c r="F17" s="116"/>
      <c r="G17" s="116"/>
      <c r="H17" s="116"/>
      <c r="I17" s="116"/>
      <c r="J17" s="117"/>
      <c r="K17" s="110">
        <f t="shared" si="0"/>
        <v>0</v>
      </c>
      <c r="L17" s="111">
        <f>(($C17*(POWER(1+Assumptions!$E$12,1))*$D17)*F17)</f>
        <v>0</v>
      </c>
      <c r="M17" s="111">
        <f>(($C17*(POWER(1+Assumptions!$F$12,2))*$D17)*G17)</f>
        <v>0</v>
      </c>
      <c r="N17" s="111">
        <f>(($C17*(POWER(1+Assumptions!$G$12,3))*$D17)*H17)</f>
        <v>0</v>
      </c>
      <c r="O17" s="111">
        <f>(($C17*(POWER(1+Assumptions!$H$12,4))*$D17)*I17)</f>
        <v>0</v>
      </c>
      <c r="P17" s="111">
        <f>(($C17*(POWER(1+Assumptions!$I$12,5))*$D17)*J17)</f>
        <v>0</v>
      </c>
      <c r="Q17" s="6"/>
      <c r="R17" s="136"/>
      <c r="S17" s="6"/>
    </row>
    <row r="18" spans="1:19" s="7" customFormat="1" x14ac:dyDescent="0.35">
      <c r="A18" s="6"/>
      <c r="B18" s="176"/>
      <c r="C18" s="113"/>
      <c r="D18" s="114"/>
      <c r="E18" s="115"/>
      <c r="F18" s="116"/>
      <c r="G18" s="116"/>
      <c r="H18" s="116"/>
      <c r="I18" s="116"/>
      <c r="J18" s="117"/>
      <c r="K18" s="110">
        <f t="shared" si="0"/>
        <v>0</v>
      </c>
      <c r="L18" s="111">
        <f>(($C18*(POWER(1+Assumptions!$E$12,1))*$D18)*F18)</f>
        <v>0</v>
      </c>
      <c r="M18" s="111">
        <f>(($C18*(POWER(1+Assumptions!$F$12,2))*$D18)*G18)</f>
        <v>0</v>
      </c>
      <c r="N18" s="111">
        <f>(($C18*(POWER(1+Assumptions!$G$12,3))*$D18)*H18)</f>
        <v>0</v>
      </c>
      <c r="O18" s="111">
        <f>(($C18*(POWER(1+Assumptions!$H$12,4))*$D18)*I18)</f>
        <v>0</v>
      </c>
      <c r="P18" s="111">
        <f>(($C18*(POWER(1+Assumptions!$I$12,5))*$D18)*J18)</f>
        <v>0</v>
      </c>
      <c r="Q18" s="6"/>
      <c r="R18" s="136"/>
      <c r="S18" s="6"/>
    </row>
    <row r="19" spans="1:19" s="7" customFormat="1" x14ac:dyDescent="0.35">
      <c r="A19" s="6"/>
      <c r="B19" s="176"/>
      <c r="C19" s="113"/>
      <c r="D19" s="114"/>
      <c r="E19" s="115"/>
      <c r="F19" s="116"/>
      <c r="G19" s="116"/>
      <c r="H19" s="116"/>
      <c r="I19" s="116"/>
      <c r="J19" s="117"/>
      <c r="K19" s="110">
        <f t="shared" si="0"/>
        <v>0</v>
      </c>
      <c r="L19" s="111">
        <f>(($C19*(POWER(1+Assumptions!$E$12,1))*$D19)*F19)</f>
        <v>0</v>
      </c>
      <c r="M19" s="111">
        <f>(($C19*(POWER(1+Assumptions!$F$12,2))*$D19)*G19)</f>
        <v>0</v>
      </c>
      <c r="N19" s="111">
        <f>(($C19*(POWER(1+Assumptions!$G$12,3))*$D19)*H19)</f>
        <v>0</v>
      </c>
      <c r="O19" s="111">
        <f>(($C19*(POWER(1+Assumptions!$H$12,4))*$D19)*I19)</f>
        <v>0</v>
      </c>
      <c r="P19" s="111">
        <f>(($C19*(POWER(1+Assumptions!$I$12,5))*$D19)*J19)</f>
        <v>0</v>
      </c>
      <c r="Q19" s="6"/>
      <c r="R19" s="136"/>
      <c r="S19" s="6"/>
    </row>
    <row r="20" spans="1:19" s="7" customFormat="1" x14ac:dyDescent="0.35">
      <c r="A20" s="6"/>
      <c r="B20" s="176"/>
      <c r="C20" s="113"/>
      <c r="D20" s="114"/>
      <c r="E20" s="115"/>
      <c r="F20" s="116"/>
      <c r="G20" s="116"/>
      <c r="H20" s="116"/>
      <c r="I20" s="116"/>
      <c r="J20" s="117"/>
      <c r="K20" s="110">
        <f t="shared" si="0"/>
        <v>0</v>
      </c>
      <c r="L20" s="111">
        <f>(($C20*(POWER(1+Assumptions!$E$12,1))*$D20)*F20)</f>
        <v>0</v>
      </c>
      <c r="M20" s="111">
        <f>(($C20*(POWER(1+Assumptions!$F$12,2))*$D20)*G20)</f>
        <v>0</v>
      </c>
      <c r="N20" s="111">
        <f>(($C20*(POWER(1+Assumptions!$G$12,3))*$D20)*H20)</f>
        <v>0</v>
      </c>
      <c r="O20" s="111">
        <f>(($C20*(POWER(1+Assumptions!$H$12,4))*$D20)*I20)</f>
        <v>0</v>
      </c>
      <c r="P20" s="111">
        <f>(($C20*(POWER(1+Assumptions!$I$12,5))*$D20)*J20)</f>
        <v>0</v>
      </c>
      <c r="Q20" s="6"/>
      <c r="R20" s="136"/>
      <c r="S20" s="6"/>
    </row>
    <row r="21" spans="1:19" s="7" customFormat="1" x14ac:dyDescent="0.35">
      <c r="A21" s="6"/>
      <c r="B21" s="176"/>
      <c r="C21" s="113"/>
      <c r="D21" s="114"/>
      <c r="E21" s="115"/>
      <c r="F21" s="116"/>
      <c r="G21" s="116"/>
      <c r="H21" s="116"/>
      <c r="I21" s="116"/>
      <c r="J21" s="117"/>
      <c r="K21" s="110">
        <f t="shared" si="0"/>
        <v>0</v>
      </c>
      <c r="L21" s="111">
        <f>(($C21*(POWER(1+Assumptions!$E$12,1))*$D21)*F21)</f>
        <v>0</v>
      </c>
      <c r="M21" s="111">
        <f>(($C21*(POWER(1+Assumptions!$F$12,2))*$D21)*G21)</f>
        <v>0</v>
      </c>
      <c r="N21" s="111">
        <f>(($C21*(POWER(1+Assumptions!$G$12,3))*$D21)*H21)</f>
        <v>0</v>
      </c>
      <c r="O21" s="111">
        <f>(($C21*(POWER(1+Assumptions!$H$12,4))*$D21)*I21)</f>
        <v>0</v>
      </c>
      <c r="P21" s="111">
        <f>(($C21*(POWER(1+Assumptions!$I$12,5))*$D21)*J21)</f>
        <v>0</v>
      </c>
      <c r="Q21" s="6"/>
      <c r="R21" s="136"/>
      <c r="S21" s="6"/>
    </row>
    <row r="22" spans="1:19" s="7" customFormat="1" x14ac:dyDescent="0.35">
      <c r="A22" s="6"/>
      <c r="B22" s="176"/>
      <c r="C22" s="113"/>
      <c r="D22" s="114"/>
      <c r="E22" s="115"/>
      <c r="F22" s="116"/>
      <c r="G22" s="116"/>
      <c r="H22" s="116"/>
      <c r="I22" s="116"/>
      <c r="J22" s="117"/>
      <c r="K22" s="110">
        <f t="shared" si="0"/>
        <v>0</v>
      </c>
      <c r="L22" s="111">
        <f>(($C22*(POWER(1+Assumptions!$E$12,1))*$D22)*F22)</f>
        <v>0</v>
      </c>
      <c r="M22" s="111">
        <f>(($C22*(POWER(1+Assumptions!$F$12,2))*$D22)*G22)</f>
        <v>0</v>
      </c>
      <c r="N22" s="111">
        <f>(($C22*(POWER(1+Assumptions!$G$12,3))*$D22)*H22)</f>
        <v>0</v>
      </c>
      <c r="O22" s="111">
        <f>(($C22*(POWER(1+Assumptions!$H$12,4))*$D22)*I22)</f>
        <v>0</v>
      </c>
      <c r="P22" s="111">
        <f>(($C22*(POWER(1+Assumptions!$I$12,5))*$D22)*J22)</f>
        <v>0</v>
      </c>
      <c r="Q22" s="6"/>
      <c r="R22" s="136"/>
      <c r="S22" s="6"/>
    </row>
    <row r="23" spans="1:19" s="7" customFormat="1" x14ac:dyDescent="0.35">
      <c r="A23" s="6"/>
      <c r="B23" s="176"/>
      <c r="C23" s="113"/>
      <c r="D23" s="114"/>
      <c r="E23" s="115"/>
      <c r="F23" s="116"/>
      <c r="G23" s="116"/>
      <c r="H23" s="116"/>
      <c r="I23" s="116"/>
      <c r="J23" s="117"/>
      <c r="K23" s="110">
        <f t="shared" si="0"/>
        <v>0</v>
      </c>
      <c r="L23" s="111">
        <f>(($C23*(POWER(1+Assumptions!$E$12,1))*$D23)*F23)</f>
        <v>0</v>
      </c>
      <c r="M23" s="111">
        <f>(($C23*(POWER(1+Assumptions!$F$12,2))*$D23)*G23)</f>
        <v>0</v>
      </c>
      <c r="N23" s="111">
        <f>(($C23*(POWER(1+Assumptions!$G$12,3))*$D23)*H23)</f>
        <v>0</v>
      </c>
      <c r="O23" s="111">
        <f>(($C23*(POWER(1+Assumptions!$H$12,4))*$D23)*I23)</f>
        <v>0</v>
      </c>
      <c r="P23" s="111">
        <f>(($C23*(POWER(1+Assumptions!$I$12,5))*$D23)*J23)</f>
        <v>0</v>
      </c>
      <c r="Q23" s="6"/>
      <c r="R23" s="136"/>
      <c r="S23" s="6"/>
    </row>
    <row r="24" spans="1:19" x14ac:dyDescent="0.35">
      <c r="A24" s="3"/>
      <c r="B24" s="88"/>
      <c r="C24" s="88"/>
      <c r="D24" s="6"/>
      <c r="E24" s="6"/>
      <c r="F24" s="6"/>
      <c r="G24" s="6"/>
      <c r="H24" s="6"/>
      <c r="I24" s="6"/>
      <c r="J24" s="6"/>
      <c r="K24" s="3"/>
      <c r="L24" s="88"/>
      <c r="M24" s="88"/>
      <c r="N24" s="88"/>
      <c r="O24" s="88"/>
      <c r="P24" s="6"/>
      <c r="Q24" s="3"/>
      <c r="R24" s="303"/>
      <c r="S24" s="3"/>
    </row>
    <row r="25" spans="1:19" x14ac:dyDescent="0.35">
      <c r="A25" s="3"/>
      <c r="B25" s="87" t="s">
        <v>104</v>
      </c>
      <c r="C25" s="3"/>
      <c r="D25" s="3"/>
      <c r="E25" s="3"/>
      <c r="F25" s="3"/>
      <c r="G25" s="3"/>
      <c r="H25" s="3"/>
      <c r="I25" s="3"/>
      <c r="J25" s="3"/>
      <c r="K25" s="97">
        <f>SUM(K9:K23)</f>
        <v>43500</v>
      </c>
      <c r="L25" s="97">
        <f t="shared" ref="L25:P25" si="1">SUM(L9:L23)</f>
        <v>160905</v>
      </c>
      <c r="M25" s="97">
        <f t="shared" si="1"/>
        <v>273625.2</v>
      </c>
      <c r="N25" s="97">
        <f t="shared" si="1"/>
        <v>272465.15399999998</v>
      </c>
      <c r="O25" s="97">
        <f t="shared" si="1"/>
        <v>277914.45708000008</v>
      </c>
      <c r="P25" s="97">
        <f t="shared" si="1"/>
        <v>283472.74622160004</v>
      </c>
      <c r="Q25" s="3"/>
      <c r="R25" s="141"/>
      <c r="S25" s="3"/>
    </row>
    <row r="26" spans="1:19" x14ac:dyDescent="0.35">
      <c r="A26" s="3"/>
      <c r="B26" s="133"/>
      <c r="C26" s="3"/>
      <c r="D26" s="3"/>
      <c r="E26" s="3"/>
      <c r="F26" s="3"/>
      <c r="G26" s="3"/>
      <c r="H26" s="3"/>
      <c r="I26" s="3"/>
      <c r="J26" s="3"/>
      <c r="K26" s="3"/>
      <c r="L26" s="3"/>
      <c r="M26" s="3"/>
      <c r="N26" s="3"/>
      <c r="O26" s="3"/>
      <c r="P26" s="3"/>
      <c r="Q26" s="3"/>
      <c r="R26" s="3"/>
      <c r="S26" s="3"/>
    </row>
    <row r="27" spans="1:19" x14ac:dyDescent="0.35">
      <c r="A27" s="3"/>
      <c r="B27" s="133"/>
      <c r="C27" s="3"/>
      <c r="D27" s="3"/>
      <c r="E27" s="3"/>
      <c r="F27" s="3"/>
      <c r="G27" s="3"/>
      <c r="H27" s="3"/>
      <c r="I27" s="3"/>
      <c r="J27" s="3"/>
      <c r="K27" s="134"/>
      <c r="L27" s="134"/>
      <c r="M27" s="134"/>
      <c r="N27" s="134"/>
      <c r="O27" s="134"/>
      <c r="P27" s="134"/>
      <c r="Q27" s="3"/>
      <c r="R27" s="3"/>
      <c r="S27" s="3"/>
    </row>
    <row r="28" spans="1:19" x14ac:dyDescent="0.35">
      <c r="A28" s="3"/>
      <c r="B28" s="137" t="s">
        <v>105</v>
      </c>
      <c r="C28" s="3"/>
      <c r="D28" s="3"/>
      <c r="E28" s="3"/>
      <c r="F28" s="3"/>
      <c r="G28" s="3"/>
      <c r="H28" s="3"/>
      <c r="I28" s="3"/>
      <c r="J28" s="3"/>
      <c r="K28" s="3"/>
      <c r="L28" s="3"/>
      <c r="M28" s="3"/>
      <c r="N28" s="3"/>
      <c r="O28" s="3"/>
      <c r="P28" s="3"/>
      <c r="Q28" s="3"/>
      <c r="R28" s="3"/>
      <c r="S28" s="3"/>
    </row>
    <row r="29" spans="1:19" x14ac:dyDescent="0.35">
      <c r="A29" s="3"/>
      <c r="B29" s="133"/>
      <c r="C29" s="3"/>
      <c r="D29" s="3"/>
      <c r="E29" s="3"/>
      <c r="F29" s="3"/>
      <c r="G29" s="3"/>
      <c r="H29" s="3"/>
      <c r="I29" s="3"/>
      <c r="J29" s="3"/>
      <c r="K29" s="3"/>
      <c r="L29" s="3"/>
      <c r="M29" s="3"/>
      <c r="N29" s="3"/>
      <c r="O29" s="3"/>
      <c r="P29" s="3"/>
      <c r="Q29" s="3"/>
      <c r="R29" s="3"/>
      <c r="S29" s="3"/>
    </row>
    <row r="30" spans="1:19" x14ac:dyDescent="0.35">
      <c r="B30" s="112"/>
    </row>
  </sheetData>
  <sheetProtection algorithmName="SHA-512" hashValue="d7Bjtkkj+diVBfRAMlx4NHaJYLD4Oc0f0228B/8HpD9DVJZ1ZqfFuQIfDltOyhXlpE5vQp4uSRuMb9wvDKgnxA==" saltValue="CLaJtJwhI39GNGEYXmhgTA==" spinCount="100000" sheet="1" objects="1" scenarios="1"/>
  <mergeCells count="4">
    <mergeCell ref="B6:B7"/>
    <mergeCell ref="C6:C7"/>
    <mergeCell ref="D6:D7"/>
    <mergeCell ref="E5:J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7" tint="0.59999389629810485"/>
  </sheetPr>
  <dimension ref="A1:M60"/>
  <sheetViews>
    <sheetView zoomScale="90" zoomScaleNormal="90" workbookViewId="0">
      <selection activeCell="E7" sqref="E7"/>
    </sheetView>
  </sheetViews>
  <sheetFormatPr defaultColWidth="9.1796875" defaultRowHeight="14.5" x14ac:dyDescent="0.35"/>
  <cols>
    <col min="1" max="1" width="3.453125" style="2" customWidth="1"/>
    <col min="2" max="2" width="10.7265625" style="2" customWidth="1"/>
    <col min="3" max="3" width="39.1796875" style="2" customWidth="1"/>
    <col min="4" max="4" width="4.1796875" style="2" customWidth="1"/>
    <col min="5" max="10" width="16.26953125" style="2" customWidth="1"/>
    <col min="11" max="11" width="3.453125" style="2" customWidth="1"/>
    <col min="12" max="12" width="86.453125" style="2" customWidth="1"/>
    <col min="13" max="13" width="3.453125" style="2" customWidth="1"/>
    <col min="14" max="16384" width="9.1796875" style="2"/>
  </cols>
  <sheetData>
    <row r="1" spans="1:13" ht="18.5" x14ac:dyDescent="0.45">
      <c r="A1" s="31" t="str">
        <f>About!A1</f>
        <v>rpk GROUP | Advising Redesign Financial Model</v>
      </c>
      <c r="B1" s="32"/>
      <c r="C1" s="32"/>
      <c r="D1" s="32"/>
      <c r="E1" s="32"/>
      <c r="F1" s="32"/>
      <c r="G1" s="32"/>
      <c r="H1" s="32"/>
      <c r="I1" s="32"/>
      <c r="J1" s="32"/>
      <c r="K1" s="32"/>
      <c r="L1" s="32"/>
      <c r="M1" s="32"/>
    </row>
    <row r="2" spans="1:13" ht="18.5" x14ac:dyDescent="0.45">
      <c r="A2" s="337" t="str">
        <f>About!A2</f>
        <v>In Collaboration with American Association of State Colleges and Universities (AASCU) &amp; Advising Success Network (ASN)</v>
      </c>
      <c r="B2" s="32"/>
      <c r="C2" s="32"/>
      <c r="D2" s="32"/>
      <c r="E2" s="32"/>
      <c r="F2" s="32"/>
      <c r="G2" s="32"/>
      <c r="H2" s="32"/>
      <c r="I2" s="32"/>
      <c r="J2" s="32"/>
      <c r="K2" s="32"/>
      <c r="L2" s="32"/>
      <c r="M2" s="32"/>
    </row>
    <row r="3" spans="1:13" ht="15" customHeight="1" x14ac:dyDescent="0.45">
      <c r="A3" s="33" t="s">
        <v>55</v>
      </c>
      <c r="B3" s="34"/>
      <c r="C3" s="34"/>
      <c r="D3" s="34"/>
      <c r="E3" s="34"/>
      <c r="F3" s="34"/>
      <c r="G3" s="34"/>
      <c r="H3" s="34"/>
      <c r="I3" s="34"/>
      <c r="J3" s="34"/>
      <c r="K3" s="34"/>
      <c r="L3" s="34"/>
      <c r="M3" s="34"/>
    </row>
    <row r="4" spans="1:13" ht="15.5" x14ac:dyDescent="0.35">
      <c r="A4" s="86" t="s">
        <v>57</v>
      </c>
      <c r="B4" s="3"/>
      <c r="C4" s="3"/>
      <c r="D4" s="3"/>
      <c r="E4" s="3"/>
      <c r="F4" s="3"/>
      <c r="G4" s="3"/>
      <c r="H4" s="3"/>
      <c r="I4" s="3"/>
      <c r="J4" s="3"/>
      <c r="K4" s="87"/>
      <c r="L4" s="87"/>
      <c r="M4" s="3"/>
    </row>
    <row r="5" spans="1:13" ht="15" customHeight="1" x14ac:dyDescent="0.35">
      <c r="A5" s="454"/>
      <c r="B5" s="454"/>
      <c r="C5" s="454"/>
      <c r="D5" s="454"/>
      <c r="E5" s="454"/>
      <c r="F5" s="454"/>
      <c r="G5" s="454"/>
      <c r="H5" s="454"/>
      <c r="I5" s="454"/>
      <c r="J5" s="3"/>
      <c r="K5" s="3"/>
      <c r="L5" s="3"/>
      <c r="M5" s="3"/>
    </row>
    <row r="6" spans="1:13" ht="29" x14ac:dyDescent="0.35">
      <c r="A6" s="3"/>
      <c r="B6" s="3"/>
      <c r="C6" s="88"/>
      <c r="D6" s="88"/>
      <c r="E6" s="89" t="s">
        <v>24</v>
      </c>
      <c r="F6" s="88" t="s">
        <v>1</v>
      </c>
      <c r="G6" s="88" t="s">
        <v>2</v>
      </c>
      <c r="H6" s="88" t="s">
        <v>3</v>
      </c>
      <c r="I6" s="88" t="s">
        <v>4</v>
      </c>
      <c r="J6" s="88" t="s">
        <v>5</v>
      </c>
      <c r="K6" s="90"/>
      <c r="L6" s="90"/>
      <c r="M6" s="3"/>
    </row>
    <row r="7" spans="1:13" ht="15.5" x14ac:dyDescent="0.35">
      <c r="A7" s="3"/>
      <c r="B7" s="3"/>
      <c r="C7" s="88"/>
      <c r="D7" s="88"/>
      <c r="E7" s="91" t="str">
        <f>Assumptions!D6</f>
        <v>2022-23</v>
      </c>
      <c r="F7" s="91" t="str">
        <f>Assumptions!E6</f>
        <v>2023-24</v>
      </c>
      <c r="G7" s="91" t="str">
        <f>Assumptions!F6</f>
        <v>2024-25</v>
      </c>
      <c r="H7" s="91" t="str">
        <f>Assumptions!G6</f>
        <v>2025-26</v>
      </c>
      <c r="I7" s="91" t="str">
        <f>Assumptions!H6</f>
        <v>2026-27</v>
      </c>
      <c r="J7" s="91" t="str">
        <f>Assumptions!I6</f>
        <v>2027-28</v>
      </c>
      <c r="K7" s="92"/>
      <c r="L7" s="178" t="s">
        <v>6</v>
      </c>
      <c r="M7" s="3"/>
    </row>
    <row r="8" spans="1:13" x14ac:dyDescent="0.35">
      <c r="A8" s="3"/>
      <c r="B8" s="87" t="s">
        <v>88</v>
      </c>
      <c r="C8" s="88"/>
      <c r="D8" s="88"/>
      <c r="E8" s="88"/>
      <c r="F8" s="88"/>
      <c r="G8" s="88"/>
      <c r="H8" s="88"/>
      <c r="I8" s="3"/>
      <c r="J8" s="3"/>
      <c r="K8" s="3"/>
      <c r="L8" s="141"/>
      <c r="M8" s="3"/>
    </row>
    <row r="9" spans="1:13" x14ac:dyDescent="0.35">
      <c r="A9" s="3"/>
      <c r="B9" s="93" t="s">
        <v>89</v>
      </c>
      <c r="C9" s="88"/>
      <c r="D9" s="88"/>
      <c r="E9" s="125"/>
      <c r="F9" s="126">
        <f>SUM('ROI&amp;Efficiency Calculations'!C21,'ROI&amp;Efficiency Calculations'!C38)</f>
        <v>299026.25999999361</v>
      </c>
      <c r="G9" s="126">
        <f>SUM('ROI&amp;Efficiency Calculations'!D21,'ROI&amp;Efficiency Calculations'!D38)</f>
        <v>679513.44000000483</v>
      </c>
      <c r="H9" s="126">
        <f>SUM('ROI&amp;Efficiency Calculations'!E21,'ROI&amp;Efficiency Calculations'!E38)</f>
        <v>723520.24900000519</v>
      </c>
      <c r="I9" s="126">
        <f>SUM('ROI&amp;Efficiency Calculations'!F21,'ROI&amp;Efficiency Calculations'!F38)</f>
        <v>778196.84499999299</v>
      </c>
      <c r="J9" s="126">
        <f>SUM('ROI&amp;Efficiency Calculations'!G21,'ROI&amp;Efficiency Calculations'!G38)</f>
        <v>796595.51100000564</v>
      </c>
      <c r="K9" s="3"/>
      <c r="L9" s="141"/>
      <c r="M9" s="3"/>
    </row>
    <row r="10" spans="1:13" x14ac:dyDescent="0.35">
      <c r="A10" s="3"/>
      <c r="B10" s="3"/>
      <c r="C10" s="88"/>
      <c r="D10" s="88"/>
      <c r="E10" s="88"/>
      <c r="F10" s="88"/>
      <c r="G10" s="88"/>
      <c r="H10" s="88"/>
      <c r="I10" s="3"/>
      <c r="J10" s="3"/>
      <c r="K10" s="3"/>
      <c r="L10" s="141"/>
      <c r="M10" s="3"/>
    </row>
    <row r="11" spans="1:13" x14ac:dyDescent="0.35">
      <c r="A11" s="3"/>
      <c r="B11" s="94" t="s">
        <v>90</v>
      </c>
      <c r="C11" s="88"/>
      <c r="D11" s="88"/>
      <c r="E11" s="304"/>
      <c r="F11" s="304"/>
      <c r="G11" s="304">
        <f>'Employee Time &amp; Salary Expense'!M12*(1+Assumptions!$G$12)</f>
        <v>127344.96000000001</v>
      </c>
      <c r="H11" s="304">
        <f>'Employee Time &amp; Salary Expense'!N12*(1+Assumptions!$G$12)</f>
        <v>129891.85919999999</v>
      </c>
      <c r="I11" s="304">
        <f>'Employee Time &amp; Salary Expense'!O12*(1+Assumptions!$G$12)</f>
        <v>132489.69638399998</v>
      </c>
      <c r="J11" s="304">
        <f>'Employee Time &amp; Salary Expense'!P12*(1+Assumptions!$G$12)</f>
        <v>135139.49031168001</v>
      </c>
      <c r="K11" s="3"/>
      <c r="L11" s="141"/>
      <c r="M11" s="3"/>
    </row>
    <row r="12" spans="1:13" x14ac:dyDescent="0.35">
      <c r="A12" s="3"/>
      <c r="B12" s="94" t="s">
        <v>91</v>
      </c>
      <c r="C12" s="88"/>
      <c r="D12" s="88"/>
      <c r="E12" s="305">
        <f>SUM(E24:E25)</f>
        <v>56550</v>
      </c>
      <c r="F12" s="305">
        <f t="shared" ref="F12" si="0">SUM(F24:F25)</f>
        <v>209176.5</v>
      </c>
      <c r="G12" s="305">
        <f>SUM(G24:G25)-G11</f>
        <v>228367.8</v>
      </c>
      <c r="H12" s="305">
        <f t="shared" ref="H12:J12" si="1">SUM(H24:H25)-H11</f>
        <v>224312.84099999996</v>
      </c>
      <c r="I12" s="305">
        <f t="shared" si="1"/>
        <v>228799.09782000011</v>
      </c>
      <c r="J12" s="305">
        <f t="shared" si="1"/>
        <v>233375.07977640006</v>
      </c>
      <c r="K12" s="3"/>
      <c r="L12" s="135" t="s">
        <v>112</v>
      </c>
      <c r="M12" s="3"/>
    </row>
    <row r="13" spans="1:13" x14ac:dyDescent="0.35">
      <c r="A13" s="3"/>
      <c r="B13" s="94" t="s">
        <v>95</v>
      </c>
      <c r="C13" s="88"/>
      <c r="D13" s="88"/>
      <c r="E13" s="304"/>
      <c r="F13" s="304"/>
      <c r="G13" s="304"/>
      <c r="H13" s="304"/>
      <c r="I13" s="306"/>
      <c r="J13" s="306"/>
      <c r="K13" s="3"/>
      <c r="L13" s="141"/>
      <c r="M13" s="3"/>
    </row>
    <row r="14" spans="1:13" x14ac:dyDescent="0.35">
      <c r="A14" s="3"/>
      <c r="B14" s="94" t="s">
        <v>93</v>
      </c>
      <c r="C14" s="88"/>
      <c r="D14" s="88"/>
      <c r="E14" s="304"/>
      <c r="F14" s="304"/>
      <c r="G14" s="304"/>
      <c r="H14" s="304"/>
      <c r="I14" s="306"/>
      <c r="J14" s="306"/>
      <c r="K14" s="3"/>
      <c r="L14" s="141"/>
      <c r="M14" s="3"/>
    </row>
    <row r="15" spans="1:13" x14ac:dyDescent="0.35">
      <c r="A15" s="3"/>
      <c r="B15" s="94" t="s">
        <v>94</v>
      </c>
      <c r="C15" s="88"/>
      <c r="D15" s="88"/>
      <c r="E15" s="304">
        <v>25000</v>
      </c>
      <c r="F15" s="304">
        <v>25000</v>
      </c>
      <c r="G15" s="304"/>
      <c r="H15" s="304"/>
      <c r="I15" s="306"/>
      <c r="J15" s="306"/>
      <c r="K15" s="3"/>
      <c r="L15" s="141" t="s">
        <v>257</v>
      </c>
      <c r="M15" s="3"/>
    </row>
    <row r="16" spans="1:13" x14ac:dyDescent="0.35">
      <c r="A16" s="3"/>
      <c r="B16" s="94" t="s">
        <v>42</v>
      </c>
      <c r="C16" s="88"/>
      <c r="D16" s="88"/>
      <c r="E16" s="304"/>
      <c r="F16" s="304"/>
      <c r="G16" s="304"/>
      <c r="H16" s="304"/>
      <c r="I16" s="306"/>
      <c r="J16" s="306"/>
      <c r="K16" s="3"/>
      <c r="L16" s="141"/>
      <c r="M16" s="3"/>
    </row>
    <row r="17" spans="1:13" x14ac:dyDescent="0.35">
      <c r="A17" s="3"/>
      <c r="B17" s="98" t="s">
        <v>193</v>
      </c>
      <c r="C17" s="3"/>
      <c r="D17" s="3"/>
      <c r="E17" s="307">
        <f>E43</f>
        <v>0</v>
      </c>
      <c r="F17" s="308"/>
      <c r="G17" s="309"/>
      <c r="H17" s="309"/>
      <c r="I17" s="309"/>
      <c r="J17" s="310"/>
      <c r="K17" s="3"/>
      <c r="L17" s="141"/>
      <c r="M17" s="3"/>
    </row>
    <row r="18" spans="1:13" x14ac:dyDescent="0.35">
      <c r="A18" s="3"/>
      <c r="B18" s="93" t="s">
        <v>92</v>
      </c>
      <c r="C18" s="88"/>
      <c r="D18" s="88"/>
      <c r="E18" s="311">
        <f>SUM(E11:E17)</f>
        <v>81550</v>
      </c>
      <c r="F18" s="311">
        <f t="shared" ref="F18:J18" si="2">SUM(F11:F16)</f>
        <v>234176.5</v>
      </c>
      <c r="G18" s="311">
        <f t="shared" si="2"/>
        <v>355712.76</v>
      </c>
      <c r="H18" s="311">
        <f t="shared" si="2"/>
        <v>354204.70019999996</v>
      </c>
      <c r="I18" s="311">
        <f t="shared" si="2"/>
        <v>361288.79420400009</v>
      </c>
      <c r="J18" s="311">
        <f t="shared" si="2"/>
        <v>368514.57008808007</v>
      </c>
      <c r="K18" s="3"/>
      <c r="L18" s="141"/>
      <c r="M18" s="3"/>
    </row>
    <row r="19" spans="1:13" x14ac:dyDescent="0.35">
      <c r="A19" s="3"/>
      <c r="B19" s="87"/>
      <c r="C19" s="88"/>
      <c r="D19" s="88"/>
      <c r="E19" s="95"/>
      <c r="F19" s="95"/>
      <c r="G19" s="95"/>
      <c r="H19" s="95"/>
      <c r="I19" s="95"/>
      <c r="J19" s="95"/>
      <c r="K19" s="3"/>
      <c r="L19" s="141"/>
      <c r="M19" s="3"/>
    </row>
    <row r="20" spans="1:13" x14ac:dyDescent="0.35">
      <c r="A20" s="3"/>
      <c r="B20" s="96" t="s">
        <v>96</v>
      </c>
      <c r="C20" s="96"/>
      <c r="D20" s="96"/>
      <c r="E20" s="312">
        <f>SUM(E9,E18)</f>
        <v>81550</v>
      </c>
      <c r="F20" s="312">
        <f t="shared" ref="F20:J20" si="3">SUM(F9,F18)</f>
        <v>533202.75999999361</v>
      </c>
      <c r="G20" s="312">
        <f t="shared" si="3"/>
        <v>1035226.2000000048</v>
      </c>
      <c r="H20" s="312">
        <f t="shared" si="3"/>
        <v>1077724.9492000053</v>
      </c>
      <c r="I20" s="312">
        <f t="shared" si="3"/>
        <v>1139485.6392039931</v>
      </c>
      <c r="J20" s="312">
        <f t="shared" si="3"/>
        <v>1165110.0810880857</v>
      </c>
      <c r="K20" s="3"/>
      <c r="L20" s="141"/>
      <c r="M20" s="3"/>
    </row>
    <row r="21" spans="1:13" x14ac:dyDescent="0.35">
      <c r="A21" s="3"/>
      <c r="B21" s="87"/>
      <c r="C21" s="88"/>
      <c r="D21" s="88"/>
      <c r="E21" s="95"/>
      <c r="F21" s="95"/>
      <c r="G21" s="95"/>
      <c r="H21" s="95"/>
      <c r="I21" s="95"/>
      <c r="J21" s="95"/>
      <c r="K21" s="3"/>
      <c r="L21" s="3"/>
      <c r="M21" s="3"/>
    </row>
    <row r="22" spans="1:13" x14ac:dyDescent="0.35">
      <c r="A22" s="3"/>
      <c r="B22" s="3"/>
      <c r="C22" s="3"/>
      <c r="D22" s="3"/>
      <c r="E22" s="3"/>
      <c r="F22" s="3"/>
      <c r="G22" s="3"/>
      <c r="H22" s="3"/>
      <c r="I22" s="3"/>
      <c r="J22" s="3"/>
      <c r="K22" s="3"/>
      <c r="L22" s="3"/>
      <c r="M22" s="3"/>
    </row>
    <row r="23" spans="1:13" x14ac:dyDescent="0.35">
      <c r="A23" s="3"/>
      <c r="B23" s="96" t="s">
        <v>74</v>
      </c>
      <c r="C23" s="3"/>
      <c r="D23" s="3"/>
      <c r="E23" s="3"/>
      <c r="F23" s="3"/>
      <c r="G23" s="3"/>
      <c r="H23" s="3"/>
      <c r="I23" s="3"/>
      <c r="J23" s="3"/>
      <c r="K23" s="3"/>
      <c r="L23" s="3"/>
      <c r="M23" s="3"/>
    </row>
    <row r="24" spans="1:13" x14ac:dyDescent="0.35">
      <c r="A24" s="3"/>
      <c r="B24" s="98" t="s">
        <v>77</v>
      </c>
      <c r="C24" s="3"/>
      <c r="D24" s="3"/>
      <c r="E24" s="307">
        <f>'Employee Time &amp; Salary Expense'!K25</f>
        <v>43500</v>
      </c>
      <c r="F24" s="307">
        <f>'Employee Time &amp; Salary Expense'!L25</f>
        <v>160905</v>
      </c>
      <c r="G24" s="307">
        <f>'Employee Time &amp; Salary Expense'!M25</f>
        <v>273625.2</v>
      </c>
      <c r="H24" s="307">
        <f>'Employee Time &amp; Salary Expense'!N25</f>
        <v>272465.15399999998</v>
      </c>
      <c r="I24" s="307">
        <f>'Employee Time &amp; Salary Expense'!O25</f>
        <v>277914.45708000008</v>
      </c>
      <c r="J24" s="307">
        <f>'Employee Time &amp; Salary Expense'!P25</f>
        <v>283472.74622160004</v>
      </c>
      <c r="K24" s="99"/>
      <c r="L24" s="135" t="s">
        <v>111</v>
      </c>
      <c r="M24" s="3"/>
    </row>
    <row r="25" spans="1:13" x14ac:dyDescent="0.35">
      <c r="A25" s="3"/>
      <c r="B25" s="98" t="s">
        <v>78</v>
      </c>
      <c r="C25" s="3"/>
      <c r="D25" s="3"/>
      <c r="E25" s="307">
        <f>E24*Assumptions!D14</f>
        <v>13050</v>
      </c>
      <c r="F25" s="307">
        <f>F24*Assumptions!E14</f>
        <v>48271.5</v>
      </c>
      <c r="G25" s="307">
        <f>G24*Assumptions!F14</f>
        <v>82087.56</v>
      </c>
      <c r="H25" s="307">
        <f>H24*Assumptions!G14</f>
        <v>81739.546199999997</v>
      </c>
      <c r="I25" s="307">
        <f>I24*Assumptions!H14</f>
        <v>83374.337124000027</v>
      </c>
      <c r="J25" s="307">
        <f>J24*Assumptions!I14</f>
        <v>85041.823866480016</v>
      </c>
      <c r="K25" s="99"/>
      <c r="L25" s="135" t="s">
        <v>87</v>
      </c>
      <c r="M25" s="3"/>
    </row>
    <row r="26" spans="1:13" x14ac:dyDescent="0.35">
      <c r="A26" s="3"/>
      <c r="B26" s="98" t="s">
        <v>75</v>
      </c>
      <c r="C26" s="3"/>
      <c r="D26" s="3"/>
      <c r="E26" s="127"/>
      <c r="F26" s="127"/>
      <c r="G26" s="128">
        <f>F26*(1+Assumptions!$F$10)</f>
        <v>0</v>
      </c>
      <c r="H26" s="128">
        <f>G26*(1+Assumptions!$G$10)</f>
        <v>0</v>
      </c>
      <c r="I26" s="128">
        <f>H26*(1+Assumptions!$H$10)</f>
        <v>0</v>
      </c>
      <c r="J26" s="128">
        <f>I26*(1+Assumptions!$I$10)</f>
        <v>0</v>
      </c>
      <c r="K26" s="99"/>
      <c r="L26" s="103"/>
      <c r="M26" s="3"/>
    </row>
    <row r="27" spans="1:13" x14ac:dyDescent="0.35">
      <c r="A27" s="3"/>
      <c r="B27" s="98" t="s">
        <v>76</v>
      </c>
      <c r="C27" s="3"/>
      <c r="D27" s="3"/>
      <c r="E27" s="127"/>
      <c r="F27" s="127">
        <v>10000</v>
      </c>
      <c r="G27" s="128">
        <f>F27*(1+Assumptions!$F$10)</f>
        <v>10200</v>
      </c>
      <c r="H27" s="128">
        <f>G27*(1+Assumptions!$G$10)</f>
        <v>10404</v>
      </c>
      <c r="I27" s="128">
        <f>H27*(1+Assumptions!$H$10)</f>
        <v>10612.08</v>
      </c>
      <c r="J27" s="128">
        <f>I27*(1+Assumptions!$I$10)</f>
        <v>10824.321599999999</v>
      </c>
      <c r="K27" s="99"/>
      <c r="L27" s="103" t="s">
        <v>260</v>
      </c>
      <c r="M27" s="3"/>
    </row>
    <row r="28" spans="1:13" x14ac:dyDescent="0.35">
      <c r="A28" s="3"/>
      <c r="B28" s="98" t="s">
        <v>190</v>
      </c>
      <c r="C28" s="3"/>
      <c r="D28" s="3"/>
      <c r="E28" s="127">
        <v>5000</v>
      </c>
      <c r="F28" s="127">
        <v>5000</v>
      </c>
      <c r="G28" s="128">
        <f>F28*(1+Assumptions!$F$10)</f>
        <v>5100</v>
      </c>
      <c r="H28" s="128">
        <f>G28*(1+Assumptions!$G$10)</f>
        <v>5202</v>
      </c>
      <c r="I28" s="128">
        <f>H28*(1+Assumptions!$H$10)</f>
        <v>5306.04</v>
      </c>
      <c r="J28" s="128">
        <f>I28*(1+Assumptions!$I$10)</f>
        <v>5412.1607999999997</v>
      </c>
      <c r="K28" s="99"/>
      <c r="L28" s="103"/>
      <c r="M28" s="3"/>
    </row>
    <row r="29" spans="1:13" x14ac:dyDescent="0.35">
      <c r="A29" s="3"/>
      <c r="B29" s="98" t="s">
        <v>73</v>
      </c>
      <c r="C29" s="3"/>
      <c r="D29" s="3"/>
      <c r="E29" s="127"/>
      <c r="F29" s="127">
        <v>500</v>
      </c>
      <c r="G29" s="128">
        <f>F29*(1+Assumptions!$F$10)</f>
        <v>510</v>
      </c>
      <c r="H29" s="128">
        <f>G29*(1+Assumptions!$G$10)</f>
        <v>520.20000000000005</v>
      </c>
      <c r="I29" s="128">
        <f>H29*(1+Assumptions!$H$10)</f>
        <v>530.60400000000004</v>
      </c>
      <c r="J29" s="128">
        <f>I29*(1+Assumptions!$I$10)</f>
        <v>541.21608000000003</v>
      </c>
      <c r="K29" s="99"/>
      <c r="L29" s="103"/>
      <c r="M29" s="3"/>
    </row>
    <row r="30" spans="1:13" x14ac:dyDescent="0.35">
      <c r="A30" s="3"/>
      <c r="B30" s="98" t="s">
        <v>192</v>
      </c>
      <c r="C30" s="3"/>
      <c r="D30" s="3"/>
      <c r="E30" s="127"/>
      <c r="F30" s="127"/>
      <c r="G30" s="128">
        <v>2000</v>
      </c>
      <c r="H30" s="128">
        <v>0</v>
      </c>
      <c r="I30" s="128">
        <f>H30*(1+Assumptions!$H$10)</f>
        <v>0</v>
      </c>
      <c r="J30" s="128">
        <f>I30*(1+Assumptions!$I$10)</f>
        <v>0</v>
      </c>
      <c r="K30" s="99"/>
      <c r="L30" s="103" t="s">
        <v>254</v>
      </c>
      <c r="M30" s="3"/>
    </row>
    <row r="31" spans="1:13" x14ac:dyDescent="0.35">
      <c r="A31" s="3"/>
      <c r="B31" s="98" t="s">
        <v>71</v>
      </c>
      <c r="C31" s="3"/>
      <c r="D31" s="3"/>
      <c r="E31" s="127">
        <v>15000</v>
      </c>
      <c r="F31" s="127">
        <v>10000</v>
      </c>
      <c r="G31" s="128">
        <f>F31*(1+Assumptions!$F$10)</f>
        <v>10200</v>
      </c>
      <c r="H31" s="128">
        <f>G31*(1+Assumptions!$G$10)</f>
        <v>10404</v>
      </c>
      <c r="I31" s="128">
        <f>H31*(1+Assumptions!$H$10)</f>
        <v>10612.08</v>
      </c>
      <c r="J31" s="128">
        <f>I31*(1+Assumptions!$I$10)</f>
        <v>10824.321599999999</v>
      </c>
      <c r="K31" s="99"/>
      <c r="L31" s="103" t="s">
        <v>261</v>
      </c>
      <c r="M31" s="3"/>
    </row>
    <row r="32" spans="1:13" x14ac:dyDescent="0.35">
      <c r="A32" s="3"/>
      <c r="B32" s="100" t="s">
        <v>69</v>
      </c>
      <c r="C32" s="3"/>
      <c r="D32" s="3"/>
      <c r="E32" s="127"/>
      <c r="F32" s="127"/>
      <c r="G32" s="128">
        <f>F32*(1+Assumptions!$F$10)</f>
        <v>0</v>
      </c>
      <c r="H32" s="128">
        <f>G32*(1+Assumptions!$G$10)</f>
        <v>0</v>
      </c>
      <c r="I32" s="128">
        <f>H32*(1+Assumptions!$H$10)</f>
        <v>0</v>
      </c>
      <c r="J32" s="128">
        <f>I32*(1+Assumptions!$I$10)</f>
        <v>0</v>
      </c>
      <c r="K32" s="99"/>
      <c r="L32" s="103"/>
      <c r="M32" s="3"/>
    </row>
    <row r="33" spans="1:13" x14ac:dyDescent="0.35">
      <c r="A33" s="3"/>
      <c r="B33" s="98" t="s">
        <v>72</v>
      </c>
      <c r="C33" s="3"/>
      <c r="D33" s="3"/>
      <c r="E33" s="127">
        <v>5000</v>
      </c>
      <c r="F33" s="127"/>
      <c r="G33" s="128">
        <f>F33*(1+Assumptions!$F$10)</f>
        <v>0</v>
      </c>
      <c r="H33" s="128">
        <f>G33*(1+Assumptions!$G$10)</f>
        <v>0</v>
      </c>
      <c r="I33" s="128">
        <f>H33*(1+Assumptions!$H$10)</f>
        <v>0</v>
      </c>
      <c r="J33" s="128">
        <f>I33*(1+Assumptions!$I$10)</f>
        <v>0</v>
      </c>
      <c r="K33" s="99"/>
      <c r="L33" s="103"/>
      <c r="M33" s="3"/>
    </row>
    <row r="34" spans="1:13" x14ac:dyDescent="0.35">
      <c r="A34" s="3"/>
      <c r="B34" s="100" t="s">
        <v>191</v>
      </c>
      <c r="C34" s="3"/>
      <c r="D34" s="3"/>
      <c r="E34" s="127"/>
      <c r="F34" s="127"/>
      <c r="G34" s="128">
        <f>F34*(1+Assumptions!$F$10)</f>
        <v>0</v>
      </c>
      <c r="H34" s="128">
        <f>G34*(1+Assumptions!$G$10)</f>
        <v>0</v>
      </c>
      <c r="I34" s="128">
        <f>H34*(1+Assumptions!$H$10)</f>
        <v>0</v>
      </c>
      <c r="J34" s="128">
        <f>I34*(1+Assumptions!$I$10)</f>
        <v>0</v>
      </c>
      <c r="K34" s="99"/>
      <c r="L34" s="103"/>
      <c r="M34" s="3"/>
    </row>
    <row r="35" spans="1:13" x14ac:dyDescent="0.35">
      <c r="A35" s="3"/>
      <c r="B35" s="98" t="s">
        <v>70</v>
      </c>
      <c r="C35" s="3"/>
      <c r="D35" s="3"/>
      <c r="E35" s="127"/>
      <c r="F35" s="127"/>
      <c r="G35" s="128">
        <f>F35*(1+Assumptions!$F$10)</f>
        <v>0</v>
      </c>
      <c r="H35" s="128">
        <f>G35*(1+Assumptions!$G$10)</f>
        <v>0</v>
      </c>
      <c r="I35" s="128">
        <f>H35*(1+Assumptions!$H$10)</f>
        <v>0</v>
      </c>
      <c r="J35" s="128">
        <f>I35*(1+Assumptions!$I$10)</f>
        <v>0</v>
      </c>
      <c r="K35" s="99"/>
      <c r="L35" s="103"/>
      <c r="M35" s="3"/>
    </row>
    <row r="36" spans="1:13" x14ac:dyDescent="0.35">
      <c r="A36" s="3"/>
      <c r="B36" s="98" t="s">
        <v>109</v>
      </c>
      <c r="C36" s="3"/>
      <c r="D36" s="3"/>
      <c r="E36" s="127"/>
      <c r="F36" s="127"/>
      <c r="G36" s="128">
        <f>F36*(1+Assumptions!$F$10)</f>
        <v>0</v>
      </c>
      <c r="H36" s="128">
        <f>G36*(1+Assumptions!$G$10)</f>
        <v>0</v>
      </c>
      <c r="I36" s="128">
        <f>H36*(1+Assumptions!$H$10)</f>
        <v>0</v>
      </c>
      <c r="J36" s="128">
        <f>I36*(1+Assumptions!$I$10)</f>
        <v>0</v>
      </c>
      <c r="K36" s="99"/>
      <c r="L36" s="103"/>
      <c r="M36" s="3"/>
    </row>
    <row r="37" spans="1:13" x14ac:dyDescent="0.35">
      <c r="A37" s="3"/>
      <c r="B37" s="101" t="s">
        <v>80</v>
      </c>
      <c r="C37" s="102"/>
      <c r="D37" s="3"/>
      <c r="E37" s="129"/>
      <c r="F37" s="129"/>
      <c r="G37" s="129"/>
      <c r="H37" s="129"/>
      <c r="I37" s="129"/>
      <c r="J37" s="129"/>
      <c r="K37" s="103"/>
      <c r="L37" s="103"/>
      <c r="M37" s="3"/>
    </row>
    <row r="38" spans="1:13" x14ac:dyDescent="0.35">
      <c r="A38" s="3"/>
      <c r="B38" s="104" t="s">
        <v>81</v>
      </c>
      <c r="C38" s="3"/>
      <c r="D38" s="3"/>
      <c r="E38" s="127"/>
      <c r="F38" s="127"/>
      <c r="G38" s="128">
        <f>F38*(1+Assumptions!$F$10)</f>
        <v>0</v>
      </c>
      <c r="H38" s="128">
        <f>G38*(1+Assumptions!$G$10)</f>
        <v>0</v>
      </c>
      <c r="I38" s="128">
        <f>H38*(1+Assumptions!$H$10)</f>
        <v>0</v>
      </c>
      <c r="J38" s="128">
        <f>I38*(1+Assumptions!$I$10)</f>
        <v>0</v>
      </c>
      <c r="K38" s="99"/>
      <c r="L38" s="103"/>
      <c r="M38" s="3"/>
    </row>
    <row r="39" spans="1:13" x14ac:dyDescent="0.35">
      <c r="A39" s="3"/>
      <c r="B39" s="104" t="s">
        <v>82</v>
      </c>
      <c r="C39" s="3"/>
      <c r="D39" s="3"/>
      <c r="E39" s="127"/>
      <c r="F39" s="127"/>
      <c r="G39" s="128">
        <f>F39*(1+Assumptions!$F$10)</f>
        <v>0</v>
      </c>
      <c r="H39" s="128">
        <f>G39*(1+Assumptions!$G$10)</f>
        <v>0</v>
      </c>
      <c r="I39" s="128">
        <f>H39*(1+Assumptions!$H$10)</f>
        <v>0</v>
      </c>
      <c r="J39" s="128">
        <f>I39*(1+Assumptions!$I$10)</f>
        <v>0</v>
      </c>
      <c r="K39" s="99"/>
      <c r="L39" s="103"/>
      <c r="M39" s="3"/>
    </row>
    <row r="40" spans="1:13" x14ac:dyDescent="0.35">
      <c r="A40" s="3"/>
      <c r="B40" s="104" t="s">
        <v>149</v>
      </c>
      <c r="C40" s="3"/>
      <c r="D40" s="3"/>
      <c r="E40" s="127"/>
      <c r="F40" s="127">
        <v>2500</v>
      </c>
      <c r="G40" s="128">
        <f>F40*(1+Assumptions!$F$10)</f>
        <v>2550</v>
      </c>
      <c r="H40" s="128">
        <f>G40*(1+Assumptions!$G$10)</f>
        <v>2601</v>
      </c>
      <c r="I40" s="128">
        <f>H40*(1+Assumptions!$H$10)</f>
        <v>2653.02</v>
      </c>
      <c r="J40" s="128">
        <f>I40*(1+Assumptions!$I$10)</f>
        <v>2706.0803999999998</v>
      </c>
      <c r="K40" s="99"/>
      <c r="L40" s="103" t="s">
        <v>255</v>
      </c>
      <c r="M40" s="3"/>
    </row>
    <row r="41" spans="1:13" x14ac:dyDescent="0.35">
      <c r="A41" s="3"/>
      <c r="B41" s="105" t="s">
        <v>150</v>
      </c>
      <c r="C41" s="106"/>
      <c r="D41" s="3"/>
      <c r="E41" s="127"/>
      <c r="F41" s="127"/>
      <c r="G41" s="128">
        <f>F41*(1+Assumptions!$F$10)</f>
        <v>0</v>
      </c>
      <c r="H41" s="128">
        <f>G41*(1+Assumptions!$G$10)</f>
        <v>0</v>
      </c>
      <c r="I41" s="128">
        <f>H41*(1+Assumptions!$H$10)</f>
        <v>0</v>
      </c>
      <c r="J41" s="128">
        <f>I41*(1+Assumptions!$I$10)</f>
        <v>0</v>
      </c>
      <c r="K41" s="99"/>
      <c r="L41" s="103"/>
      <c r="M41" s="3"/>
    </row>
    <row r="42" spans="1:13" x14ac:dyDescent="0.35">
      <c r="A42" s="3"/>
      <c r="B42" s="98" t="s">
        <v>79</v>
      </c>
      <c r="C42" s="3"/>
      <c r="D42" s="3"/>
      <c r="E42" s="127"/>
      <c r="F42" s="127"/>
      <c r="G42" s="128">
        <f>F42*(1+Assumptions!$F$10)</f>
        <v>0</v>
      </c>
      <c r="H42" s="128">
        <f>G42*(1+Assumptions!$G$10)</f>
        <v>0</v>
      </c>
      <c r="I42" s="128">
        <f>H42*(1+Assumptions!$H$10)</f>
        <v>0</v>
      </c>
      <c r="J42" s="128">
        <f>I42*(1+Assumptions!$I$10)</f>
        <v>0</v>
      </c>
      <c r="K42" s="47"/>
      <c r="L42" s="103"/>
      <c r="M42" s="3"/>
    </row>
    <row r="43" spans="1:13" x14ac:dyDescent="0.35">
      <c r="A43" s="3"/>
      <c r="B43" s="98" t="s">
        <v>193</v>
      </c>
      <c r="C43" s="3"/>
      <c r="D43" s="3"/>
      <c r="E43" s="127"/>
      <c r="F43" s="258"/>
      <c r="G43" s="129"/>
      <c r="H43" s="129"/>
      <c r="I43" s="129"/>
      <c r="J43" s="259"/>
      <c r="K43" s="47"/>
      <c r="L43" s="103"/>
      <c r="M43" s="3"/>
    </row>
    <row r="44" spans="1:13" x14ac:dyDescent="0.35">
      <c r="A44" s="3"/>
      <c r="B44" s="107" t="s">
        <v>83</v>
      </c>
      <c r="C44" s="3"/>
      <c r="D44" s="3"/>
      <c r="E44" s="130">
        <f>SUM(E24:E43)</f>
        <v>81550</v>
      </c>
      <c r="F44" s="130">
        <f>SUM(F24:F42)</f>
        <v>237176.5</v>
      </c>
      <c r="G44" s="130">
        <f>SUM(G24:G42)</f>
        <v>386272.76</v>
      </c>
      <c r="H44" s="130">
        <f>SUM(H24:H42)</f>
        <v>383335.90019999997</v>
      </c>
      <c r="I44" s="130">
        <f>SUM(I24:I42)</f>
        <v>391002.61820400011</v>
      </c>
      <c r="J44" s="130">
        <f>SUM(J24:J42)</f>
        <v>398822.6705680801</v>
      </c>
      <c r="K44" s="48"/>
      <c r="L44" s="103"/>
      <c r="M44" s="3"/>
    </row>
    <row r="45" spans="1:13" x14ac:dyDescent="0.35">
      <c r="A45" s="3"/>
      <c r="B45" s="3"/>
      <c r="C45" s="3"/>
      <c r="D45" s="3"/>
      <c r="E45" s="131"/>
      <c r="F45" s="131"/>
      <c r="G45" s="131"/>
      <c r="H45" s="131"/>
      <c r="I45" s="131"/>
      <c r="J45" s="131"/>
      <c r="K45" s="3"/>
      <c r="L45" s="141"/>
      <c r="M45" s="3"/>
    </row>
    <row r="46" spans="1:13" x14ac:dyDescent="0.35">
      <c r="A46" s="3"/>
      <c r="B46" s="294" t="s">
        <v>243</v>
      </c>
      <c r="C46" s="291"/>
      <c r="D46" s="20"/>
      <c r="E46" s="292"/>
      <c r="F46" s="292"/>
      <c r="G46" s="292"/>
      <c r="H46" s="292"/>
      <c r="I46" s="292"/>
      <c r="J46" s="292"/>
      <c r="K46" s="3"/>
      <c r="L46" s="293" t="s">
        <v>244</v>
      </c>
      <c r="M46" s="3"/>
    </row>
    <row r="47" spans="1:13" x14ac:dyDescent="0.35">
      <c r="A47" s="3"/>
      <c r="B47" s="94" t="s">
        <v>85</v>
      </c>
      <c r="C47" s="3"/>
      <c r="D47" s="3"/>
      <c r="E47" s="313"/>
      <c r="F47" s="314">
        <f>F9*Assumptions!E19</f>
        <v>134561.81699999713</v>
      </c>
      <c r="G47" s="314">
        <f>G9*Assumptions!F19</f>
        <v>305781.04800000216</v>
      </c>
      <c r="H47" s="314">
        <f>H9*Assumptions!G19</f>
        <v>325584.11205000232</v>
      </c>
      <c r="I47" s="314">
        <f>I9*Assumptions!H19</f>
        <v>350188.58024999686</v>
      </c>
      <c r="J47" s="314">
        <f>J9*Assumptions!I19</f>
        <v>358467.97995000257</v>
      </c>
      <c r="K47" s="3"/>
      <c r="L47" s="135" t="s">
        <v>258</v>
      </c>
      <c r="M47" s="3"/>
    </row>
    <row r="48" spans="1:13" x14ac:dyDescent="0.35">
      <c r="A48" s="3"/>
      <c r="B48" s="94" t="s">
        <v>86</v>
      </c>
      <c r="C48" s="3"/>
      <c r="D48" s="3"/>
      <c r="E48" s="314">
        <f>E44*Assumptions!D16</f>
        <v>0</v>
      </c>
      <c r="F48" s="314">
        <f>F44*Assumptions!E16</f>
        <v>0</v>
      </c>
      <c r="G48" s="314">
        <f>G44*Assumptions!F16</f>
        <v>0</v>
      </c>
      <c r="H48" s="314">
        <f>H44*Assumptions!G16</f>
        <v>0</v>
      </c>
      <c r="I48" s="314">
        <f>I44*Assumptions!H16</f>
        <v>0</v>
      </c>
      <c r="J48" s="314">
        <f>J44*Assumptions!I16</f>
        <v>0</v>
      </c>
      <c r="K48" s="3"/>
      <c r="L48" s="135" t="s">
        <v>87</v>
      </c>
      <c r="M48" s="3"/>
    </row>
    <row r="49" spans="1:13" x14ac:dyDescent="0.35">
      <c r="A49" s="3"/>
      <c r="B49" s="93" t="s">
        <v>84</v>
      </c>
      <c r="C49" s="3"/>
      <c r="D49" s="3"/>
      <c r="E49" s="130">
        <f>SUM(E47,E48)</f>
        <v>0</v>
      </c>
      <c r="F49" s="130">
        <f t="shared" ref="F49:J49" si="4">SUM(F47,F48)</f>
        <v>134561.81699999713</v>
      </c>
      <c r="G49" s="130">
        <f t="shared" si="4"/>
        <v>305781.04800000216</v>
      </c>
      <c r="H49" s="130">
        <f t="shared" si="4"/>
        <v>325584.11205000232</v>
      </c>
      <c r="I49" s="130">
        <f t="shared" si="4"/>
        <v>350188.58024999686</v>
      </c>
      <c r="J49" s="130">
        <f t="shared" si="4"/>
        <v>358467.97995000257</v>
      </c>
      <c r="K49" s="3"/>
      <c r="L49" s="141"/>
      <c r="M49" s="3"/>
    </row>
    <row r="50" spans="1:13" x14ac:dyDescent="0.35">
      <c r="A50" s="3"/>
      <c r="B50" s="3"/>
      <c r="C50" s="3"/>
      <c r="D50" s="3"/>
      <c r="E50" s="130"/>
      <c r="F50" s="130"/>
      <c r="G50" s="130"/>
      <c r="H50" s="130"/>
      <c r="I50" s="130"/>
      <c r="J50" s="130"/>
      <c r="K50" s="3"/>
      <c r="L50" s="141"/>
      <c r="M50" s="3"/>
    </row>
    <row r="51" spans="1:13" x14ac:dyDescent="0.35">
      <c r="A51" s="3"/>
      <c r="B51" s="87" t="s">
        <v>97</v>
      </c>
      <c r="C51" s="3"/>
      <c r="D51" s="3"/>
      <c r="E51" s="315">
        <f>SUM(E44,E49)</f>
        <v>81550</v>
      </c>
      <c r="F51" s="315">
        <f t="shared" ref="F51:J51" si="5">SUM(F44,F49)</f>
        <v>371738.31699999713</v>
      </c>
      <c r="G51" s="315">
        <f t="shared" si="5"/>
        <v>692053.80800000217</v>
      </c>
      <c r="H51" s="315">
        <f t="shared" si="5"/>
        <v>708920.01225000224</v>
      </c>
      <c r="I51" s="315">
        <f t="shared" si="5"/>
        <v>741191.19845399703</v>
      </c>
      <c r="J51" s="315">
        <f t="shared" si="5"/>
        <v>757290.65051808266</v>
      </c>
      <c r="K51" s="3"/>
      <c r="L51" s="141"/>
      <c r="M51" s="3"/>
    </row>
    <row r="52" spans="1:13" x14ac:dyDescent="0.35">
      <c r="A52" s="3"/>
      <c r="B52" s="3"/>
      <c r="C52" s="3"/>
      <c r="D52" s="3"/>
      <c r="E52" s="3"/>
      <c r="F52" s="3"/>
      <c r="G52" s="3"/>
      <c r="H52" s="3"/>
      <c r="I52" s="3"/>
      <c r="J52" s="3"/>
      <c r="K52" s="3"/>
      <c r="L52" s="141"/>
      <c r="M52" s="3"/>
    </row>
    <row r="53" spans="1:13" ht="15" thickBot="1" x14ac:dyDescent="0.4">
      <c r="A53" s="3"/>
      <c r="B53" s="87" t="s">
        <v>98</v>
      </c>
      <c r="C53" s="87"/>
      <c r="D53" s="87"/>
      <c r="E53" s="322">
        <f t="shared" ref="E53:J53" si="6">E20-E51</f>
        <v>0</v>
      </c>
      <c r="F53" s="322">
        <f t="shared" si="6"/>
        <v>161464.44299999648</v>
      </c>
      <c r="G53" s="322">
        <f t="shared" si="6"/>
        <v>343172.39200000267</v>
      </c>
      <c r="H53" s="322">
        <f t="shared" si="6"/>
        <v>368804.93695000303</v>
      </c>
      <c r="I53" s="322">
        <f t="shared" si="6"/>
        <v>398294.44074999611</v>
      </c>
      <c r="J53" s="322">
        <f t="shared" si="6"/>
        <v>407819.43057000299</v>
      </c>
      <c r="K53" s="3"/>
      <c r="L53" s="135" t="s">
        <v>110</v>
      </c>
      <c r="M53" s="3"/>
    </row>
    <row r="54" spans="1:13" ht="15.5" thickTop="1" thickBot="1" x14ac:dyDescent="0.4">
      <c r="A54" s="3"/>
      <c r="B54" s="93" t="s">
        <v>145</v>
      </c>
      <c r="C54" s="87"/>
      <c r="D54" s="87"/>
      <c r="E54" s="316">
        <f t="shared" ref="E54:J54" si="7">E9-E51</f>
        <v>-81550</v>
      </c>
      <c r="F54" s="316">
        <f t="shared" si="7"/>
        <v>-72712.057000003522</v>
      </c>
      <c r="G54" s="316">
        <f t="shared" si="7"/>
        <v>-12540.367999997339</v>
      </c>
      <c r="H54" s="316">
        <f t="shared" si="7"/>
        <v>14600.23675000295</v>
      </c>
      <c r="I54" s="316">
        <f t="shared" si="7"/>
        <v>37005.646545995958</v>
      </c>
      <c r="J54" s="316">
        <f t="shared" si="7"/>
        <v>39304.86048192298</v>
      </c>
      <c r="K54" s="3"/>
      <c r="L54" s="135" t="s">
        <v>146</v>
      </c>
      <c r="M54" s="3"/>
    </row>
    <row r="55" spans="1:13" ht="15" thickTop="1" x14ac:dyDescent="0.35">
      <c r="A55" s="3"/>
      <c r="B55" s="3"/>
      <c r="C55" s="3"/>
      <c r="D55" s="3"/>
      <c r="E55" s="3"/>
      <c r="F55" s="3"/>
      <c r="G55" s="3"/>
      <c r="H55" s="3"/>
      <c r="I55" s="3"/>
      <c r="J55" s="3"/>
      <c r="K55" s="3"/>
      <c r="L55" s="141"/>
      <c r="M55" s="3"/>
    </row>
    <row r="56" spans="1:13" x14ac:dyDescent="0.35">
      <c r="A56" s="3"/>
      <c r="B56" s="87" t="s">
        <v>147</v>
      </c>
      <c r="C56" s="3"/>
      <c r="D56" s="3"/>
      <c r="E56" s="317"/>
      <c r="F56" s="318">
        <f>F54/F51</f>
        <v>-0.19560011350673889</v>
      </c>
      <c r="G56" s="318">
        <f t="shared" ref="G56:J56" si="8">G54/G51</f>
        <v>-1.8120510074553769E-2</v>
      </c>
      <c r="H56" s="318">
        <f t="shared" si="8"/>
        <v>2.059504104513013E-2</v>
      </c>
      <c r="I56" s="318">
        <f t="shared" si="8"/>
        <v>4.9927261175232052E-2</v>
      </c>
      <c r="J56" s="318">
        <f t="shared" si="8"/>
        <v>5.1901948683815757E-2</v>
      </c>
      <c r="K56" s="3"/>
      <c r="L56" s="135" t="s">
        <v>148</v>
      </c>
      <c r="M56" s="3"/>
    </row>
    <row r="57" spans="1:13" x14ac:dyDescent="0.35">
      <c r="A57" s="3"/>
      <c r="B57" s="3"/>
      <c r="C57" s="3"/>
      <c r="D57" s="3"/>
      <c r="E57" s="3"/>
      <c r="F57" s="3"/>
      <c r="G57" s="3"/>
      <c r="H57" s="3"/>
      <c r="I57" s="3"/>
      <c r="J57" s="3"/>
      <c r="K57" s="3"/>
      <c r="L57" s="3"/>
      <c r="M57" s="3"/>
    </row>
    <row r="58" spans="1:13" x14ac:dyDescent="0.35">
      <c r="A58" s="3"/>
      <c r="B58" s="3"/>
      <c r="C58" s="3"/>
      <c r="D58" s="3"/>
      <c r="E58" s="3"/>
      <c r="F58" s="3"/>
      <c r="G58" s="3"/>
      <c r="H58" s="3"/>
      <c r="I58" s="3"/>
      <c r="J58" s="3"/>
      <c r="K58" s="3"/>
      <c r="L58" s="3"/>
      <c r="M58" s="3"/>
    </row>
    <row r="59" spans="1:13" x14ac:dyDescent="0.35">
      <c r="A59" s="3"/>
      <c r="B59" s="137" t="s">
        <v>103</v>
      </c>
      <c r="C59" s="3"/>
      <c r="D59" s="3"/>
      <c r="E59" s="3"/>
      <c r="F59" s="3"/>
      <c r="G59" s="3"/>
      <c r="H59" s="3"/>
      <c r="I59" s="3"/>
      <c r="J59" s="3"/>
      <c r="K59" s="3"/>
      <c r="L59" s="3"/>
      <c r="M59" s="3"/>
    </row>
    <row r="60" spans="1:13" x14ac:dyDescent="0.35">
      <c r="A60" s="3"/>
      <c r="B60" s="3"/>
      <c r="C60" s="3"/>
      <c r="D60" s="3"/>
      <c r="E60" s="3"/>
      <c r="F60" s="3"/>
      <c r="G60" s="3"/>
      <c r="H60" s="3"/>
      <c r="I60" s="3"/>
      <c r="J60" s="3"/>
      <c r="K60" s="3"/>
      <c r="L60" s="3"/>
      <c r="M60" s="3"/>
    </row>
  </sheetData>
  <sheetProtection algorithmName="SHA-512" hashValue="Xna9aOtl8yjc+mGVZyPRJnRBkRsollIOTGDMsgw3ZjL9nc9+JA6aYrk6sImj5ZMRpQf3hTXgPHFcmuCsOZQSCA==" saltValue="RLOI28e/6/g3B0c4YHF39w==" spinCount="100000" sheet="1" objects="1" scenarios="1"/>
  <mergeCells count="1">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About</vt:lpstr>
      <vt:lpstr>Instructions</vt:lpstr>
      <vt:lpstr>Dashboard</vt:lpstr>
      <vt:lpstr>DB Data</vt:lpstr>
      <vt:lpstr>Institution Data</vt:lpstr>
      <vt:lpstr>Advising Activity &amp; ROI Levers</vt:lpstr>
      <vt:lpstr>Equity Goals</vt:lpstr>
      <vt:lpstr>Employee Time &amp; Salary Expense</vt:lpstr>
      <vt:lpstr>Revenue &amp; Expense</vt:lpstr>
      <vt:lpstr>Assumptions</vt:lpstr>
      <vt:lpstr>ROI&amp;Efficiency Calculations</vt:lpstr>
      <vt:lpstr>Change Log</vt:lpstr>
      <vt:lpstr>Assumptions!Print_Area</vt:lpstr>
      <vt:lpstr>'Equity Goals'!Print_Area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Desrochers</dc:creator>
  <cp:lastModifiedBy>Michelle Foley</cp:lastModifiedBy>
  <dcterms:created xsi:type="dcterms:W3CDTF">2017-11-02T13:40:56Z</dcterms:created>
  <dcterms:modified xsi:type="dcterms:W3CDTF">2023-03-20T14:16:04Z</dcterms:modified>
</cp:coreProperties>
</file>